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markwilliamsfoundation.sharepoint.com/sites/strategyteam/Shared Documents/Reports/OSCR/Annual Accounts/"/>
    </mc:Choice>
  </mc:AlternateContent>
  <xr:revisionPtr revIDLastSave="7" documentId="13_ncr:1_{39FF9319-33B2-4950-9750-4250FA817A11}" xr6:coauthVersionLast="47" xr6:coauthVersionMax="47" xr10:uidLastSave="{86DCF400-D5F2-4DE3-B7B1-4508A8E60731}"/>
  <bookViews>
    <workbookView xWindow="-110" yWindow="-110" windowWidth="22180" windowHeight="14500" activeTab="7" xr2:uid="{00000000-000D-0000-FFFF-FFFF00000000}"/>
  </bookViews>
  <sheets>
    <sheet name="Instructions" sheetId="1" r:id="rId1"/>
    <sheet name="Trial Balance" sheetId="2" r:id="rId2"/>
    <sheet name="Mapping" sheetId="3" r:id="rId3"/>
    <sheet name="SOFA" sheetId="4" r:id="rId4"/>
    <sheet name="Balance Sheet" sheetId="5" r:id="rId5"/>
    <sheet name="Notes" sheetId="6" r:id="rId6"/>
    <sheet name="Funds" sheetId="7" r:id="rId7"/>
    <sheet name="Print Pack" sheetId="9" r:id="rId8"/>
    <sheet name="Validation" sheetId="8"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4" i="3" l="1"/>
  <c r="H12" i="3"/>
  <c r="F7" i="2"/>
  <c r="F8" i="2"/>
  <c r="F9" i="2"/>
  <c r="F10" i="2"/>
  <c r="F11" i="2"/>
  <c r="F12" i="2"/>
  <c r="F13" i="2"/>
  <c r="F14" i="2"/>
  <c r="F15" i="2"/>
  <c r="F16" i="2"/>
  <c r="F17" i="2"/>
  <c r="F18" i="2"/>
  <c r="F19" i="2"/>
  <c r="F20" i="2"/>
  <c r="F21" i="2"/>
  <c r="F22" i="2"/>
  <c r="F23" i="2"/>
  <c r="F24" i="2"/>
  <c r="F25" i="2"/>
  <c r="F5" i="2"/>
  <c r="F6" i="2"/>
  <c r="F4" i="2"/>
  <c r="D50" i="9"/>
  <c r="F49" i="9"/>
  <c r="E49" i="9"/>
  <c r="E50" i="9" s="1"/>
  <c r="D49" i="9"/>
  <c r="C49" i="9"/>
  <c r="F48" i="9"/>
  <c r="F50" i="9" s="1"/>
  <c r="E48" i="9"/>
  <c r="D48" i="9"/>
  <c r="D44" i="9"/>
  <c r="C44" i="9"/>
  <c r="F42" i="9"/>
  <c r="D41" i="9"/>
  <c r="F39" i="9"/>
  <c r="D38" i="9"/>
  <c r="D37" i="9"/>
  <c r="F34" i="9"/>
  <c r="F43" i="9" s="1"/>
  <c r="F45" i="9" s="1"/>
  <c r="D33" i="9"/>
  <c r="D34" i="9" s="1"/>
  <c r="C33" i="9"/>
  <c r="C34" i="9" s="1"/>
  <c r="F22" i="9"/>
  <c r="F24" i="9" s="1"/>
  <c r="F28" i="9" s="1"/>
  <c r="D19" i="9"/>
  <c r="C19" i="9"/>
  <c r="D18" i="9"/>
  <c r="D17" i="9"/>
  <c r="D13" i="9"/>
  <c r="C13" i="9"/>
  <c r="D12" i="9"/>
  <c r="D11" i="9"/>
  <c r="D10" i="9"/>
  <c r="C10" i="9"/>
  <c r="D9" i="9"/>
  <c r="B12" i="8"/>
  <c r="C12" i="8" s="1"/>
  <c r="B11" i="8"/>
  <c r="C11" i="8" s="1"/>
  <c r="B10" i="8"/>
  <c r="C10" i="8" s="1"/>
  <c r="C9" i="8"/>
  <c r="B9" i="8"/>
  <c r="B8" i="8"/>
  <c r="C8" i="8" s="1"/>
  <c r="C7" i="7"/>
  <c r="F5" i="7"/>
  <c r="F4" i="7"/>
  <c r="F7" i="7" s="1"/>
  <c r="F23" i="5"/>
  <c r="C23" i="5"/>
  <c r="D22" i="5"/>
  <c r="D18" i="5"/>
  <c r="C18" i="5"/>
  <c r="D15" i="5"/>
  <c r="F13" i="5"/>
  <c r="F16" i="5" s="1"/>
  <c r="F17" i="5" s="1"/>
  <c r="F19" i="5" s="1"/>
  <c r="D12" i="5"/>
  <c r="D11" i="5"/>
  <c r="F8" i="5"/>
  <c r="D7" i="5"/>
  <c r="D8" i="5" s="1"/>
  <c r="C7" i="5"/>
  <c r="F20" i="4"/>
  <c r="F22" i="4" s="1"/>
  <c r="F26" i="4" s="1"/>
  <c r="F22" i="5" s="1"/>
  <c r="F24" i="5" s="1"/>
  <c r="D17" i="4"/>
  <c r="C17" i="4"/>
  <c r="D16" i="4"/>
  <c r="D15" i="4"/>
  <c r="D11" i="4"/>
  <c r="C11" i="4"/>
  <c r="D10" i="4"/>
  <c r="D9" i="4"/>
  <c r="D8" i="4"/>
  <c r="C8" i="4"/>
  <c r="D7" i="4"/>
  <c r="H25" i="3"/>
  <c r="B28" i="6" s="1"/>
  <c r="H23" i="3"/>
  <c r="B32" i="6" s="1"/>
  <c r="H22" i="3"/>
  <c r="C12" i="5" s="1"/>
  <c r="H21" i="3"/>
  <c r="H20" i="3"/>
  <c r="H19" i="3"/>
  <c r="H18" i="3"/>
  <c r="H17" i="3"/>
  <c r="H16" i="3"/>
  <c r="H15" i="3"/>
  <c r="H14" i="3"/>
  <c r="H13" i="3"/>
  <c r="H11" i="3"/>
  <c r="B22" i="6" s="1"/>
  <c r="H10" i="3"/>
  <c r="H9" i="3"/>
  <c r="H8" i="3"/>
  <c r="H7" i="3"/>
  <c r="C10" i="4" s="1"/>
  <c r="H6" i="3"/>
  <c r="C11" i="9" s="1"/>
  <c r="H5" i="3"/>
  <c r="H4" i="3"/>
  <c r="E26" i="2"/>
  <c r="D26" i="2"/>
  <c r="E12" i="5" l="1"/>
  <c r="B30" i="6" s="1"/>
  <c r="C7" i="4"/>
  <c r="E7" i="4" s="1"/>
  <c r="E18" i="5"/>
  <c r="E10" i="4"/>
  <c r="B15" i="6" s="1"/>
  <c r="F26" i="2"/>
  <c r="C15" i="4"/>
  <c r="E15" i="4" s="1"/>
  <c r="E17" i="4"/>
  <c r="E44" i="9"/>
  <c r="D12" i="4"/>
  <c r="E7" i="5"/>
  <c r="E8" i="5" s="1"/>
  <c r="E8" i="4"/>
  <c r="D20" i="9"/>
  <c r="B4" i="8"/>
  <c r="C4" i="8" s="1"/>
  <c r="D39" i="9"/>
  <c r="D42" i="9" s="1"/>
  <c r="D43" i="9" s="1"/>
  <c r="D45" i="9" s="1"/>
  <c r="D18" i="4"/>
  <c r="E5" i="7" s="1"/>
  <c r="D13" i="5"/>
  <c r="D16" i="5" s="1"/>
  <c r="D17" i="5" s="1"/>
  <c r="D19" i="5" s="1"/>
  <c r="E10" i="9"/>
  <c r="C16" i="4"/>
  <c r="E16" i="4" s="1"/>
  <c r="B19" i="6" s="1"/>
  <c r="E11" i="4"/>
  <c r="E11" i="9"/>
  <c r="E19" i="9"/>
  <c r="D14" i="9"/>
  <c r="E13" i="9"/>
  <c r="C8" i="5"/>
  <c r="C12" i="9"/>
  <c r="E12" i="9" s="1"/>
  <c r="C37" i="9"/>
  <c r="C9" i="4"/>
  <c r="E9" i="4" s="1"/>
  <c r="B14" i="6" s="1"/>
  <c r="C38" i="9"/>
  <c r="E38" i="9" s="1"/>
  <c r="C11" i="5"/>
  <c r="C17" i="9"/>
  <c r="C41" i="9"/>
  <c r="E41" i="9" s="1"/>
  <c r="C9" i="9"/>
  <c r="C18" i="9"/>
  <c r="E18" i="9" s="1"/>
  <c r="C15" i="5"/>
  <c r="E15" i="5" s="1"/>
  <c r="B34" i="6" s="1"/>
  <c r="E33" i="9"/>
  <c r="E34" i="9" s="1"/>
  <c r="D22" i="9" l="1"/>
  <c r="D24" i="9" s="1"/>
  <c r="D28" i="9" s="1"/>
  <c r="D20" i="4"/>
  <c r="D22" i="4" s="1"/>
  <c r="D26" i="4" s="1"/>
  <c r="B37" i="6" s="1"/>
  <c r="D5" i="7"/>
  <c r="G5" i="7"/>
  <c r="C18" i="4"/>
  <c r="E4" i="7" s="1"/>
  <c r="E7" i="7" s="1"/>
  <c r="C20" i="9"/>
  <c r="E17" i="9"/>
  <c r="E20" i="9" s="1"/>
  <c r="E9" i="9"/>
  <c r="E14" i="9" s="1"/>
  <c r="C14" i="9"/>
  <c r="C13" i="5"/>
  <c r="C16" i="5" s="1"/>
  <c r="C17" i="5" s="1"/>
  <c r="C19" i="5" s="1"/>
  <c r="E11" i="5"/>
  <c r="C39" i="9"/>
  <c r="C42" i="9" s="1"/>
  <c r="C43" i="9" s="1"/>
  <c r="C45" i="9" s="1"/>
  <c r="E37" i="9"/>
  <c r="E39" i="9" s="1"/>
  <c r="E42" i="9" s="1"/>
  <c r="E43" i="9" s="1"/>
  <c r="E45" i="9" s="1"/>
  <c r="C12" i="4"/>
  <c r="E12" i="4"/>
  <c r="B13" i="6"/>
  <c r="B18" i="6"/>
  <c r="E18" i="4"/>
  <c r="B20" i="6" s="1"/>
  <c r="E23" i="5" l="1"/>
  <c r="D23" i="5"/>
  <c r="D24" i="5" s="1"/>
  <c r="E22" i="9"/>
  <c r="E24" i="9" s="1"/>
  <c r="E28" i="9" s="1"/>
  <c r="B16" i="6"/>
  <c r="E20" i="4"/>
  <c r="E22" i="4" s="1"/>
  <c r="C20" i="4"/>
  <c r="C22" i="4" s="1"/>
  <c r="C26" i="4" s="1"/>
  <c r="D4" i="7"/>
  <c r="E13" i="5"/>
  <c r="E16" i="5" s="1"/>
  <c r="E17" i="5" s="1"/>
  <c r="E19" i="5" s="1"/>
  <c r="C22" i="9"/>
  <c r="C24" i="9" s="1"/>
  <c r="C28" i="9" s="1"/>
  <c r="C48" i="9" s="1"/>
  <c r="C50" i="9" s="1"/>
  <c r="D7" i="7" l="1"/>
  <c r="G4" i="7"/>
  <c r="G7" i="7" s="1"/>
  <c r="B36" i="6"/>
  <c r="E22" i="5"/>
  <c r="E24" i="5" s="1"/>
  <c r="B6" i="8" s="1"/>
  <c r="C6" i="8" s="1"/>
  <c r="C22" i="5"/>
  <c r="C24" i="5" s="1"/>
  <c r="B5" i="8"/>
  <c r="C5" i="8" s="1"/>
  <c r="E26" i="4"/>
  <c r="B7" i="8" l="1"/>
  <c r="C7" i="8" s="1"/>
</calcChain>
</file>

<file path=xl/sharedStrings.xml><?xml version="1.0" encoding="utf-8"?>
<sst xmlns="http://schemas.openxmlformats.org/spreadsheetml/2006/main" count="505" uniqueCount="237">
  <si>
    <t>THE MARK WILLIAMS FOUNDATION – SCIO FULLY ACCRUED ACCOUNTS WORKBOOK</t>
  </si>
  <si>
    <t>Workbook purpose</t>
  </si>
  <si>
    <t>Preparation of fully accrued annual accounts for a Scottish Charitable Incorporated Organisation (SCIO). Trustees’ Annual Report and external scrutiny report are outside this workbook.</t>
  </si>
  <si>
    <t>Charity</t>
  </si>
  <si>
    <t>The Mark Williams Foundation</t>
  </si>
  <si>
    <t>Constitutional form</t>
  </si>
  <si>
    <t>Scottish Charitable Incorporated Organisation (SCIO)</t>
  </si>
  <si>
    <t>Period</t>
  </si>
  <si>
    <t>21 July 2025 to 31 March 2026</t>
  </si>
  <si>
    <t>Accounting framework</t>
  </si>
  <si>
    <t>Charities SORP (FRS 102), second edition 2019, because the accounting period began before 1 January 2026.</t>
  </si>
  <si>
    <t>Scottish legal basis</t>
  </si>
  <si>
    <t>Charities and Trustee Investment (Scotland) Act 2005 and the Charities Accounts (Scotland) Regulations 2006 (as amended).</t>
  </si>
  <si>
    <t>Authoritative sources</t>
  </si>
  <si>
    <t>URL</t>
  </si>
  <si>
    <t>OSCR – Fully accrued accounts</t>
  </si>
  <si>
    <t>https://www.oscr.org.uk/managing-a-charity/charity-accounting/fully-accrued-accounts/</t>
  </si>
  <si>
    <t>OSCR – Preparing fully accrued accounts</t>
  </si>
  <si>
    <t>https://www.oscr.org.uk/managing-a-charity/charity-accounting/fully-accrued-accounts/2-preparing-fully-accrued-accounts/</t>
  </si>
  <si>
    <t>Charities SORP – applicable editions</t>
  </si>
  <si>
    <t>https://www.charitysorp.org/download-a-full-sorp</t>
  </si>
  <si>
    <t>Scottish legislation – 2006 Accounts Regulations</t>
  </si>
  <si>
    <t>https://www.legislation.gov.uk/ssi/2006/218/contents</t>
  </si>
  <si>
    <t>TRIAL BALANCE INPUT – XERO EXPORT</t>
  </si>
  <si>
    <t>Account Code</t>
  </si>
  <si>
    <t>Account</t>
  </si>
  <si>
    <t>Account Type</t>
  </si>
  <si>
    <t>Debit (£)</t>
  </si>
  <si>
    <t>Credit (£)</t>
  </si>
  <si>
    <t>Net Debit / (Credit) (£)</t>
  </si>
  <si>
    <t>Review</t>
  </si>
  <si>
    <t>101</t>
  </si>
  <si>
    <t>Cash Donations</t>
  </si>
  <si>
    <t>Revenue</t>
  </si>
  <si>
    <t>102</t>
  </si>
  <si>
    <t>Donations – Unrestricted</t>
  </si>
  <si>
    <t>200</t>
  </si>
  <si>
    <t>Fundraising Events Income</t>
  </si>
  <si>
    <t>270</t>
  </si>
  <si>
    <t>Bank Interest Income</t>
  </si>
  <si>
    <t>311</t>
  </si>
  <si>
    <t>Charitable Events - Cost</t>
  </si>
  <si>
    <t>Direct Costs</t>
  </si>
  <si>
    <t>324</t>
  </si>
  <si>
    <t>Entrepreneur Apprenticeship</t>
  </si>
  <si>
    <t>326</t>
  </si>
  <si>
    <t>Father Support Initiative</t>
  </si>
  <si>
    <t>400</t>
  </si>
  <si>
    <t>Wages and Salaries</t>
  </si>
  <si>
    <t>Overhead</t>
  </si>
  <si>
    <t>431</t>
  </si>
  <si>
    <t>Printing &amp; Stationery</t>
  </si>
  <si>
    <t>440</t>
  </si>
  <si>
    <t>Advertising &amp; Marketing</t>
  </si>
  <si>
    <t>445</t>
  </si>
  <si>
    <t>Travel &amp; Subsistence</t>
  </si>
  <si>
    <t>454</t>
  </si>
  <si>
    <t>Business Insurance</t>
  </si>
  <si>
    <t>461</t>
  </si>
  <si>
    <t>Subscriptions</t>
  </si>
  <si>
    <t>462</t>
  </si>
  <si>
    <t>Sundry Expenses</t>
  </si>
  <si>
    <t>472</t>
  </si>
  <si>
    <t>Legal &amp; Professional Fees</t>
  </si>
  <si>
    <t>490</t>
  </si>
  <si>
    <t>Bank Charges</t>
  </si>
  <si>
    <t>503</t>
  </si>
  <si>
    <t>Stripe Fees</t>
  </si>
  <si>
    <t>Expense</t>
  </si>
  <si>
    <t>The Mark Williams Foundation Business Account</t>
  </si>
  <si>
    <t>Bank</t>
  </si>
  <si>
    <t>800</t>
  </si>
  <si>
    <t>Accounts Payable</t>
  </si>
  <si>
    <t>Current Liability</t>
  </si>
  <si>
    <t>820</t>
  </si>
  <si>
    <t>VAT</t>
  </si>
  <si>
    <t>TOTAL / CONTROL</t>
  </si>
  <si>
    <t>NOMINAL MAPPING – REVIEW RESTRICTED/UNRESTRICTED STATUS</t>
  </si>
  <si>
    <t>Statement</t>
  </si>
  <si>
    <t>SOFA / BS category</t>
  </si>
  <si>
    <t>Fund</t>
  </si>
  <si>
    <t>Note category</t>
  </si>
  <si>
    <t>Sign convention</t>
  </si>
  <si>
    <t>Mapped amount (£)</t>
  </si>
  <si>
    <t>Review status</t>
  </si>
  <si>
    <t>Comment</t>
  </si>
  <si>
    <t>SOFA</t>
  </si>
  <si>
    <t>Donations and legacies</t>
  </si>
  <si>
    <t>Unrestricted</t>
  </si>
  <si>
    <t>Donations</t>
  </si>
  <si>
    <t>Credit positive</t>
  </si>
  <si>
    <t>OK</t>
  </si>
  <si>
    <t>Other trading activities</t>
  </si>
  <si>
    <t>Fundraising income</t>
  </si>
  <si>
    <t>Investments</t>
  </si>
  <si>
    <t>Investment income</t>
  </si>
  <si>
    <t>Charitable activities</t>
  </si>
  <si>
    <t>Debit positive</t>
  </si>
  <si>
    <t>Programme costs</t>
  </si>
  <si>
    <t>Staff costs</t>
  </si>
  <si>
    <t>Support costs</t>
  </si>
  <si>
    <t>Raising funds</t>
  </si>
  <si>
    <t>Fundraising costs</t>
  </si>
  <si>
    <t>Governance and professional costs</t>
  </si>
  <si>
    <t>Balance Sheet</t>
  </si>
  <si>
    <t>Cash at bank and in hand</t>
  </si>
  <si>
    <t>Cash</t>
  </si>
  <si>
    <t>Creditors due within one year</t>
  </si>
  <si>
    <t>Trade creditors</t>
  </si>
  <si>
    <t>Debtors</t>
  </si>
  <si>
    <t>VAT recoverable</t>
  </si>
  <si>
    <t>THE MARK WILLIAMS FOUNDATION</t>
  </si>
  <si>
    <t>STATEMENT OF FINANCIAL ACTIVITIES</t>
  </si>
  <si>
    <t>FOR THE PERIOD 21 JULY 2025 TO 31 MARCH 2026</t>
  </si>
  <si>
    <t>Note</t>
  </si>
  <si>
    <t>Unrestricted funds (£)</t>
  </si>
  <si>
    <t>Restricted funds (£)</t>
  </si>
  <si>
    <t>Prior period (£)</t>
  </si>
  <si>
    <t>Income and endowments from:</t>
  </si>
  <si>
    <t>3</t>
  </si>
  <si>
    <t>Other income</t>
  </si>
  <si>
    <t>Total income</t>
  </si>
  <si>
    <t>Expenditure on:</t>
  </si>
  <si>
    <t>4</t>
  </si>
  <si>
    <t>Other expenditure</t>
  </si>
  <si>
    <t>Total expenditure</t>
  </si>
  <si>
    <t>Net income / (expenditure)</t>
  </si>
  <si>
    <t>Transfers between funds</t>
  </si>
  <si>
    <t>Net movement in funds</t>
  </si>
  <si>
    <t>Reconciliation of funds:</t>
  </si>
  <si>
    <t>Funds brought forward</t>
  </si>
  <si>
    <t>Funds carried forward</t>
  </si>
  <si>
    <t>BALANCE SHEET</t>
  </si>
  <si>
    <t>AS AT 31 MARCH 2026</t>
  </si>
  <si>
    <t>Fixed assets</t>
  </si>
  <si>
    <t>Tangible fixed assets</t>
  </si>
  <si>
    <t>6</t>
  </si>
  <si>
    <t>Total fixed assets</t>
  </si>
  <si>
    <t>Current assets</t>
  </si>
  <si>
    <t>7</t>
  </si>
  <si>
    <t>8</t>
  </si>
  <si>
    <t>Total current assets</t>
  </si>
  <si>
    <t>Creditors: amounts falling due within one year</t>
  </si>
  <si>
    <t>9</t>
  </si>
  <si>
    <t>Net current assets</t>
  </si>
  <si>
    <t>Total assets less current liabilities</t>
  </si>
  <si>
    <t>Creditors: amounts falling due after more than one year</t>
  </si>
  <si>
    <t>Net assets</t>
  </si>
  <si>
    <t>Funds of the charity</t>
  </si>
  <si>
    <t>Unrestricted funds</t>
  </si>
  <si>
    <t>10</t>
  </si>
  <si>
    <t>Restricted funds</t>
  </si>
  <si>
    <t>Total charity funds</t>
  </si>
  <si>
    <t>NOTES TO THE FINANCIAL STATEMENTS</t>
  </si>
  <si>
    <t>1. Basis of preparation</t>
  </si>
  <si>
    <t>The financial statements have been prepared under the historical cost convention in accordance with FRS 102, the Charities SORP (FRS 102), second edition 2019, the Charities and Trustee Investment (Scotland) Act 2005 and the Charities Accounts (Scotland) Regulations 2006 (as amended). The charity is a public benefit entity as defined by FRS 102.</t>
  </si>
  <si>
    <t>The financial statements cover the charity’s first accounting period, from 21 July 2025 to 31 March 2026. Accordingly, no comparative figures are presented.</t>
  </si>
  <si>
    <t>2. Accounting policies</t>
  </si>
  <si>
    <t>Income recognition</t>
  </si>
  <si>
    <t>Income is recognised when the charity has entitlement to the funds, receipt is probable and the amount can be measured reliably. Donations are recognised when received unless entitlement arose earlier and can be measured reliably.</t>
  </si>
  <si>
    <t>Expenditure recognition</t>
  </si>
  <si>
    <t>Expenditure is recognised once there is a legal or constructive obligation, it is probable that settlement will be required and the amount can be measured reliably. Expenditure includes irrecoverable VAT where applicable.</t>
  </si>
  <si>
    <t>Fund accounting</t>
  </si>
  <si>
    <t>Unrestricted funds are available for use at the discretion of the charity trustees in furtherance of the charity’s purposes. Restricted funds may only be used for the purposes specified by the donor or grant provider.</t>
  </si>
  <si>
    <t>Going concern</t>
  </si>
  <si>
    <t>3. Income</t>
  </si>
  <si>
    <t>4. Expenditure</t>
  </si>
  <si>
    <t>5. Staff and trustees</t>
  </si>
  <si>
    <t>Staff costs – wages and salaries</t>
  </si>
  <si>
    <t>Average number of employees</t>
  </si>
  <si>
    <t>Trustee remuneration</t>
  </si>
  <si>
    <t>Trustee expenses</t>
  </si>
  <si>
    <t>6. Tangible fixed assets</t>
  </si>
  <si>
    <t>No tangible fixed assets are recorded at 31 March 2026.</t>
  </si>
  <si>
    <t>7. Debtors</t>
  </si>
  <si>
    <t>8. Cash at bank and in hand</t>
  </si>
  <si>
    <t>9. Creditors</t>
  </si>
  <si>
    <t>Total creditors due within one year</t>
  </si>
  <si>
    <t>10. Funds</t>
  </si>
  <si>
    <t>Unrestricted funds at 31 March 2026</t>
  </si>
  <si>
    <t>Restricted funds at 31 March 2026</t>
  </si>
  <si>
    <t>11. Related party transactions</t>
  </si>
  <si>
    <t>12. Commitments and events after the reporting date</t>
  </si>
  <si>
    <t>FUND MOVEMENT SCHEDULE</t>
  </si>
  <si>
    <t>Type</t>
  </si>
  <si>
    <t>Opening balance (£)</t>
  </si>
  <si>
    <t>Income (£)</t>
  </si>
  <si>
    <t>Expenditure (£)</t>
  </si>
  <si>
    <t>Transfers (£)</t>
  </si>
  <si>
    <t>Closing balance (£)</t>
  </si>
  <si>
    <t>General Fund</t>
  </si>
  <si>
    <t>Restricted Funds</t>
  </si>
  <si>
    <t>Restricted</t>
  </si>
  <si>
    <t>Total</t>
  </si>
  <si>
    <t>VALIDATION AND COMPLETION CHECKS</t>
  </si>
  <si>
    <t>Check</t>
  </si>
  <si>
    <t>Result</t>
  </si>
  <si>
    <t>Status</t>
  </si>
  <si>
    <t>Action</t>
  </si>
  <si>
    <t>Trial Balance debit equals credit</t>
  </si>
  <si>
    <t>Must be £0</t>
  </si>
  <si>
    <t>SOFA net movement agrees to net assets</t>
  </si>
  <si>
    <t>Balance Sheet funds agree to net assets</t>
  </si>
  <si>
    <t>Funds schedule agrees to SOFA</t>
  </si>
  <si>
    <t>Unreviewed mappings</t>
  </si>
  <si>
    <t>Review all yellow mapping rows</t>
  </si>
  <si>
    <t>Scottish charity number entered</t>
  </si>
  <si>
    <t>Enter charity number</t>
  </si>
  <si>
    <t>Average employee number completed</t>
  </si>
  <si>
    <t>Enter average headcount</t>
  </si>
  <si>
    <t>Trustee expenses note completed</t>
  </si>
  <si>
    <t>Complete note</t>
  </si>
  <si>
    <t>Post-balance-sheet note completed</t>
  </si>
  <si>
    <t>SCOTTISH CHARITABLE INCORPORATED ORGANISATION</t>
  </si>
  <si>
    <t>FINANCIAL STATEMENTS FOR THE PERIOD 21 JULY 2025 TO 31 MARCH 2026</t>
  </si>
  <si>
    <t>Scottish charity number</t>
  </si>
  <si>
    <t>BALANCE SHEET AS AT 31 MARCH 2026</t>
  </si>
  <si>
    <t>These financial statements were approved by the charity trustees on [DATE] and signed on their behalf by:</t>
  </si>
  <si>
    <t>Signature</t>
  </si>
  <si>
    <t>Name of charity trustee</t>
  </si>
  <si>
    <t>The notes on the separate Notes worksheet form part of these financial statements.</t>
  </si>
  <si>
    <t>Total (£)</t>
  </si>
  <si>
    <t>SC054415</t>
  </si>
  <si>
    <t>No charity trustee received any remuneration for acting as a trustee during the year.</t>
  </si>
  <si>
    <t xml:space="preserve">The charity trustees consider that there are no material uncertainties about the charity’s ability to continue as a going concern for at least twelve months from the date of approval of these financial statements. </t>
  </si>
  <si>
    <t xml:space="preserve">Recoverable VAT is included within debtors. Irrecoverable VAT is charged to the relevant expenditure category. </t>
  </si>
  <si>
    <t>The charity's VAT registration became effective from 1 May 2025. Although the VAT registration certificate was issued on 2 July 2026, the financial statements reflect the effective registration date determined by HM Revenue &amp; Customs.</t>
  </si>
  <si>
    <t>Business Bank Account</t>
  </si>
  <si>
    <t>Accruals</t>
  </si>
  <si>
    <t>Fundraising Events - Cost</t>
  </si>
  <si>
    <t>426</t>
  </si>
  <si>
    <t>Computing Costs</t>
  </si>
  <si>
    <t>805</t>
  </si>
  <si>
    <t>During the year, a trustee paid certain expenses on behalf of the charity before the charity's bank account became operational. These amounts were interest-free and were fully repaid during the financial year.</t>
  </si>
  <si>
    <t>Nicola Williams</t>
  </si>
  <si>
    <t>Date</t>
  </si>
  <si>
    <t>26.8.26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</si>
</sst>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quot;£&quot;* #,##0.00_-;_-&quot;£&quot;* &quot;-&quot;??_-;_-@_-"/>
    <numFmt numFmtId="164" formatCode="\£#,##0.00;[Red]\(\£#,##0.00\);\-"/>
    <numFmt numFmtId="165" formatCode="\£#,##0;[Red]\(\£#,##0\);\-"/>
    <numFmt numFmtId="166" formatCode="_-&quot;£&quot;* #,##0_-;\-&quot;£&quot;* #,##0_-;_-&quot;£&quot;* &quot;-&quot;??_-;_-@_-"/>
  </numFmts>
  <fonts count="13">
    <font>
      <sz val="11"/>
      <name val="Carlito"/>
    </font>
    <font>
      <b/>
      <sz val="16"/>
      <color rgb="FFFFFFFF"/>
      <name val="Carlito"/>
    </font>
    <font>
      <b/>
      <sz val="11"/>
      <name val="Carlito"/>
    </font>
    <font>
      <b/>
      <sz val="11"/>
      <color rgb="FFFFFFFF"/>
      <name val="Carlito"/>
    </font>
    <font>
      <sz val="11"/>
      <color rgb="FF0563C1"/>
      <name val="Carlito"/>
    </font>
    <font>
      <b/>
      <sz val="14"/>
      <color rgb="FFFFFFFF"/>
      <name val="Carlito"/>
    </font>
    <font>
      <sz val="11"/>
      <color rgb="FF0000FF"/>
      <name val="Carlito"/>
    </font>
    <font>
      <sz val="11"/>
      <color rgb="FF000000"/>
      <name val="Carlito"/>
    </font>
    <font>
      <b/>
      <sz val="11"/>
      <color rgb="FF000000"/>
      <name val="Carlito"/>
    </font>
    <font>
      <sz val="11"/>
      <color rgb="FF008000"/>
      <name val="Carlito"/>
    </font>
    <font>
      <b/>
      <sz val="11"/>
      <color rgb="FF008000"/>
      <name val="Carlito"/>
    </font>
    <font>
      <i/>
      <sz val="11"/>
      <name val="Carlito"/>
    </font>
    <font>
      <sz val="11"/>
      <name val="Script MT Bold"/>
      <family val="4"/>
    </font>
  </fonts>
  <fills count="7">
    <fill>
      <patternFill patternType="none"/>
    </fill>
    <fill>
      <patternFill patternType="gray125"/>
    </fill>
    <fill>
      <patternFill patternType="solid">
        <fgColor rgb="FF17365D"/>
      </patternFill>
    </fill>
    <fill>
      <patternFill patternType="solid">
        <fgColor rgb="FFD9EAF7"/>
      </patternFill>
    </fill>
    <fill>
      <patternFill patternType="solid">
        <fgColor rgb="FF1F4E78"/>
      </patternFill>
    </fill>
    <fill>
      <patternFill patternType="solid">
        <fgColor rgb="FFE7E6E6"/>
      </patternFill>
    </fill>
    <fill>
      <patternFill patternType="solid">
        <fgColor rgb="FFFFF2CC"/>
      </patternFill>
    </fill>
  </fills>
  <borders count="2">
    <border>
      <left/>
      <right/>
      <top/>
      <bottom/>
      <diagonal/>
    </border>
    <border>
      <left/>
      <right/>
      <top style="thin">
        <color rgb="FF000000"/>
      </top>
      <bottom/>
      <diagonal/>
    </border>
  </borders>
  <cellStyleXfs count="1">
    <xf numFmtId="0" fontId="0" fillId="0" borderId="0"/>
  </cellStyleXfs>
  <cellXfs count="54">
    <xf numFmtId="0" fontId="0" fillId="0" borderId="0" xfId="0"/>
    <xf numFmtId="0" fontId="2" fillId="3" borderId="0" xfId="0" applyFont="1" applyFill="1"/>
    <xf numFmtId="0" fontId="0" fillId="0" borderId="0" xfId="0" applyAlignment="1">
      <alignment wrapText="1"/>
    </xf>
    <xf numFmtId="0" fontId="0" fillId="0" borderId="0" xfId="0" applyAlignment="1">
      <alignment vertical="top" wrapText="1"/>
    </xf>
    <xf numFmtId="0" fontId="3" fillId="4" borderId="0" xfId="0" applyFont="1" applyFill="1"/>
    <xf numFmtId="0" fontId="2" fillId="3" borderId="0" xfId="0" applyFont="1" applyFill="1" applyAlignment="1">
      <alignment vertical="top" wrapText="1"/>
    </xf>
    <xf numFmtId="0" fontId="3" fillId="4" borderId="0" xfId="0" applyFont="1" applyFill="1" applyAlignment="1">
      <alignment wrapText="1"/>
    </xf>
    <xf numFmtId="0" fontId="4" fillId="0" borderId="0" xfId="0" applyFont="1" applyAlignment="1">
      <alignment wrapText="1"/>
    </xf>
    <xf numFmtId="0" fontId="3" fillId="4" borderId="0" xfId="0" applyFont="1" applyFill="1" applyAlignment="1">
      <alignment horizontal="center" wrapText="1"/>
    </xf>
    <xf numFmtId="0" fontId="2" fillId="5" borderId="1" xfId="0" applyFont="1" applyFill="1" applyBorder="1"/>
    <xf numFmtId="164" fontId="2" fillId="5" borderId="1" xfId="0" applyNumberFormat="1" applyFont="1" applyFill="1" applyBorder="1"/>
    <xf numFmtId="0" fontId="6" fillId="0" borderId="0" xfId="0" applyFont="1"/>
    <xf numFmtId="164" fontId="6" fillId="0" borderId="0" xfId="0" applyNumberFormat="1" applyFont="1"/>
    <xf numFmtId="164" fontId="7" fillId="0" borderId="0" xfId="0" applyNumberFormat="1" applyFont="1"/>
    <xf numFmtId="0" fontId="6" fillId="6" borderId="0" xfId="0" applyFont="1" applyFill="1" applyAlignment="1">
      <alignment wrapText="1"/>
    </xf>
    <xf numFmtId="164" fontId="9" fillId="0" borderId="0" xfId="0" applyNumberFormat="1" applyFont="1"/>
    <xf numFmtId="0" fontId="0" fillId="6" borderId="0" xfId="0" applyFill="1" applyAlignment="1">
      <alignment wrapText="1"/>
    </xf>
    <xf numFmtId="0" fontId="2" fillId="0" borderId="1" xfId="0" applyFont="1" applyBorder="1"/>
    <xf numFmtId="165" fontId="2" fillId="3" borderId="0" xfId="0" applyNumberFormat="1" applyFont="1" applyFill="1"/>
    <xf numFmtId="165" fontId="9" fillId="0" borderId="0" xfId="0" applyNumberFormat="1" applyFont="1"/>
    <xf numFmtId="165" fontId="10" fillId="0" borderId="1" xfId="0" applyNumberFormat="1" applyFont="1" applyBorder="1"/>
    <xf numFmtId="165" fontId="10" fillId="3" borderId="0" xfId="0" applyNumberFormat="1" applyFont="1" applyFill="1"/>
    <xf numFmtId="0" fontId="2" fillId="3" borderId="0" xfId="0" applyFont="1" applyFill="1" applyAlignment="1">
      <alignment wrapText="1"/>
    </xf>
    <xf numFmtId="164" fontId="9" fillId="0" borderId="0" xfId="0" applyNumberFormat="1" applyFont="1" applyAlignment="1">
      <alignment vertical="top" wrapText="1"/>
    </xf>
    <xf numFmtId="0" fontId="3" fillId="4" borderId="0" xfId="0" applyFont="1" applyFill="1" applyAlignment="1">
      <alignment horizontal="center"/>
    </xf>
    <xf numFmtId="0" fontId="9" fillId="0" borderId="0" xfId="0" applyFont="1"/>
    <xf numFmtId="44" fontId="8" fillId="5" borderId="1" xfId="0" applyNumberFormat="1" applyFont="1" applyFill="1" applyBorder="1"/>
    <xf numFmtId="0" fontId="0" fillId="0" borderId="0" xfId="0" applyAlignment="1">
      <alignment vertical="center" wrapText="1"/>
    </xf>
    <xf numFmtId="0" fontId="2" fillId="0" borderId="0" xfId="0" applyFont="1" applyAlignment="1">
      <alignment wrapText="1"/>
    </xf>
    <xf numFmtId="1" fontId="0" fillId="0" borderId="0" xfId="0" applyNumberFormat="1" applyAlignment="1">
      <alignment vertical="top" wrapText="1"/>
    </xf>
    <xf numFmtId="1" fontId="9" fillId="0" borderId="0" xfId="0" applyNumberFormat="1" applyFont="1" applyAlignment="1">
      <alignment vertical="top" wrapText="1"/>
    </xf>
    <xf numFmtId="165" fontId="9" fillId="0" borderId="0" xfId="0" applyNumberFormat="1" applyFont="1" applyAlignment="1">
      <alignment vertical="top" wrapText="1"/>
    </xf>
    <xf numFmtId="165" fontId="0" fillId="0" borderId="0" xfId="0" applyNumberFormat="1" applyAlignment="1">
      <alignment vertical="top" wrapText="1"/>
    </xf>
    <xf numFmtId="165" fontId="10" fillId="0" borderId="0" xfId="0" applyNumberFormat="1" applyFont="1" applyAlignment="1">
      <alignment vertical="top" wrapText="1"/>
    </xf>
    <xf numFmtId="165" fontId="2" fillId="3" borderId="0" xfId="0" applyNumberFormat="1" applyFont="1" applyFill="1" applyAlignment="1">
      <alignment vertical="top" wrapText="1"/>
    </xf>
    <xf numFmtId="165" fontId="9" fillId="0" borderId="0" xfId="0" applyNumberFormat="1" applyFont="1" applyAlignment="1">
      <alignment vertical="center" wrapText="1"/>
    </xf>
    <xf numFmtId="166" fontId="0" fillId="0" borderId="0" xfId="0" applyNumberFormat="1" applyAlignment="1">
      <alignment wrapText="1"/>
    </xf>
    <xf numFmtId="165" fontId="0" fillId="0" borderId="0" xfId="0" applyNumberFormat="1"/>
    <xf numFmtId="165" fontId="2" fillId="5" borderId="1" xfId="0" applyNumberFormat="1" applyFont="1" applyFill="1" applyBorder="1"/>
    <xf numFmtId="0" fontId="3" fillId="4" borderId="0" xfId="0" applyFont="1" applyFill="1" applyAlignment="1">
      <alignment horizontal="center" wrapText="1"/>
    </xf>
    <xf numFmtId="0" fontId="0" fillId="0" borderId="0" xfId="0" applyAlignment="1">
      <alignment wrapText="1"/>
    </xf>
    <xf numFmtId="0" fontId="11" fillId="0" borderId="0" xfId="0" applyFont="1" applyAlignment="1">
      <alignment wrapText="1"/>
    </xf>
    <xf numFmtId="0" fontId="5" fillId="2" borderId="0" xfId="0" applyFont="1" applyFill="1" applyAlignment="1">
      <alignment horizontal="center" wrapText="1"/>
    </xf>
    <xf numFmtId="0" fontId="2" fillId="0" borderId="0" xfId="0" applyFont="1" applyAlignment="1">
      <alignment wrapText="1"/>
    </xf>
    <xf numFmtId="0" fontId="1" fillId="2" borderId="0" xfId="0" applyFont="1" applyFill="1" applyAlignment="1">
      <alignment horizontal="center" vertical="center" wrapText="1"/>
    </xf>
    <xf numFmtId="0" fontId="5" fillId="2" borderId="0" xfId="0" applyFont="1" applyFill="1" applyAlignment="1">
      <alignment horizontal="center"/>
    </xf>
    <xf numFmtId="0" fontId="2" fillId="5" borderId="1" xfId="0" applyFont="1" applyFill="1" applyBorder="1"/>
    <xf numFmtId="0" fontId="3" fillId="2" borderId="0" xfId="0" applyFont="1" applyFill="1" applyAlignment="1">
      <alignment horizontal="center"/>
    </xf>
    <xf numFmtId="0" fontId="2" fillId="3" borderId="0" xfId="0" applyFont="1" applyFill="1" applyAlignment="1">
      <alignment vertical="top" wrapText="1"/>
    </xf>
    <xf numFmtId="0" fontId="0" fillId="0" borderId="0" xfId="0" applyAlignment="1">
      <alignment horizontal="left" vertical="top" wrapText="1"/>
    </xf>
    <xf numFmtId="0" fontId="0" fillId="3" borderId="0" xfId="0" applyFill="1" applyAlignment="1">
      <alignment vertical="top" wrapText="1"/>
    </xf>
    <xf numFmtId="165" fontId="2" fillId="3" borderId="0" xfId="0" applyNumberFormat="1" applyFont="1" applyFill="1" applyAlignment="1">
      <alignment vertical="top" wrapText="1"/>
    </xf>
    <xf numFmtId="0" fontId="0" fillId="0" borderId="0" xfId="0" applyAlignment="1">
      <alignment vertical="top" wrapText="1"/>
    </xf>
    <xf numFmtId="0" fontId="12" fillId="0" borderId="0" xfId="0" applyFont="1" applyAlignment="1">
      <alignment wrapText="1"/>
    </xf>
  </cellXfs>
  <cellStyles count="1">
    <cellStyle name="Normal" xfId="0" builtinId="0"/>
  </cellStyles>
  <dxfs count="2">
    <dxf>
      <font>
        <b/>
        <color rgb="FFC00000"/>
      </font>
      <fill>
        <patternFill patternType="solid">
          <bgColor rgb="FFFFF2CC"/>
        </patternFill>
      </fill>
    </dxf>
    <dxf>
      <font>
        <b/>
      </font>
      <fill>
        <patternFill patternType="solid">
          <bgColor rgb="FFE2F0D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6"/>
  <sheetViews>
    <sheetView workbookViewId="0">
      <selection activeCell="B12" sqref="B12"/>
    </sheetView>
  </sheetViews>
  <sheetFormatPr defaultRowHeight="14"/>
  <cols>
    <col min="1" max="1" width="29" customWidth="1"/>
    <col min="2" max="2" width="90" customWidth="1"/>
  </cols>
  <sheetData>
    <row r="1" spans="1:8" ht="24" customHeight="1">
      <c r="A1" s="44" t="s">
        <v>0</v>
      </c>
      <c r="B1" s="44"/>
      <c r="C1" s="44"/>
      <c r="D1" s="44"/>
      <c r="E1" s="44"/>
      <c r="F1" s="44"/>
      <c r="G1" s="44"/>
      <c r="H1" s="44"/>
    </row>
    <row r="2" spans="1:8">
      <c r="A2" s="2"/>
      <c r="B2" s="2"/>
      <c r="C2" s="2"/>
      <c r="D2" s="2"/>
      <c r="E2" s="2"/>
      <c r="F2" s="2"/>
      <c r="G2" s="2"/>
      <c r="H2" s="2"/>
    </row>
    <row r="3" spans="1:8" ht="28">
      <c r="A3" s="5" t="s">
        <v>1</v>
      </c>
      <c r="B3" s="3" t="s">
        <v>2</v>
      </c>
      <c r="C3" s="2"/>
      <c r="D3" s="2"/>
      <c r="E3" s="2"/>
      <c r="F3" s="2"/>
      <c r="G3" s="2"/>
      <c r="H3" s="2"/>
    </row>
    <row r="4" spans="1:8">
      <c r="A4" s="5" t="s">
        <v>3</v>
      </c>
      <c r="B4" s="3" t="s">
        <v>4</v>
      </c>
      <c r="C4" s="2"/>
      <c r="D4" s="2"/>
      <c r="E4" s="2"/>
      <c r="F4" s="2"/>
      <c r="G4" s="2"/>
      <c r="H4" s="2"/>
    </row>
    <row r="5" spans="1:8">
      <c r="A5" s="5" t="s">
        <v>5</v>
      </c>
      <c r="B5" s="3" t="s">
        <v>6</v>
      </c>
      <c r="C5" s="2"/>
      <c r="D5" s="2"/>
      <c r="E5" s="2"/>
      <c r="F5" s="2"/>
      <c r="G5" s="2"/>
      <c r="H5" s="2"/>
    </row>
    <row r="6" spans="1:8">
      <c r="A6" s="5" t="s">
        <v>7</v>
      </c>
      <c r="B6" s="3" t="s">
        <v>8</v>
      </c>
      <c r="C6" s="2"/>
      <c r="D6" s="2"/>
      <c r="E6" s="2"/>
      <c r="F6" s="2"/>
      <c r="G6" s="2"/>
      <c r="H6" s="2"/>
    </row>
    <row r="7" spans="1:8" ht="28">
      <c r="A7" s="5" t="s">
        <v>9</v>
      </c>
      <c r="B7" s="3" t="s">
        <v>10</v>
      </c>
      <c r="C7" s="2"/>
      <c r="D7" s="2"/>
      <c r="E7" s="2"/>
      <c r="F7" s="2"/>
      <c r="G7" s="2"/>
      <c r="H7" s="2"/>
    </row>
    <row r="8" spans="1:8" ht="28">
      <c r="A8" s="5" t="s">
        <v>11</v>
      </c>
      <c r="B8" s="3" t="s">
        <v>12</v>
      </c>
      <c r="C8" s="2"/>
      <c r="D8" s="2"/>
      <c r="E8" s="2"/>
      <c r="F8" s="2"/>
      <c r="G8" s="2"/>
      <c r="H8" s="2"/>
    </row>
    <row r="9" spans="1:8">
      <c r="A9" s="2"/>
      <c r="B9" s="2"/>
      <c r="C9" s="2"/>
      <c r="D9" s="2"/>
      <c r="E9" s="2"/>
      <c r="F9" s="2"/>
      <c r="G9" s="2"/>
      <c r="H9" s="2"/>
    </row>
    <row r="10" spans="1:8">
      <c r="A10" s="6" t="s">
        <v>13</v>
      </c>
      <c r="B10" s="6" t="s">
        <v>14</v>
      </c>
      <c r="C10" s="2"/>
      <c r="D10" s="2"/>
      <c r="E10" s="2"/>
      <c r="F10" s="2"/>
      <c r="G10" s="2"/>
      <c r="H10" s="2"/>
    </row>
    <row r="11" spans="1:8">
      <c r="A11" s="2" t="s">
        <v>15</v>
      </c>
      <c r="B11" s="7" t="s">
        <v>16</v>
      </c>
      <c r="C11" s="2"/>
      <c r="D11" s="2"/>
      <c r="E11" s="2"/>
      <c r="F11" s="2"/>
      <c r="G11" s="2"/>
      <c r="H11" s="2"/>
    </row>
    <row r="12" spans="1:8" ht="28">
      <c r="A12" s="2" t="s">
        <v>17</v>
      </c>
      <c r="B12" s="7" t="s">
        <v>18</v>
      </c>
      <c r="C12" s="2"/>
      <c r="D12" s="2"/>
      <c r="E12" s="2"/>
      <c r="F12" s="2"/>
      <c r="G12" s="2"/>
      <c r="H12" s="2"/>
    </row>
    <row r="13" spans="1:8" ht="28">
      <c r="A13" s="2" t="s">
        <v>19</v>
      </c>
      <c r="B13" s="7" t="s">
        <v>20</v>
      </c>
      <c r="C13" s="2"/>
      <c r="D13" s="2"/>
      <c r="E13" s="2"/>
      <c r="F13" s="2"/>
      <c r="G13" s="2"/>
      <c r="H13" s="2"/>
    </row>
    <row r="14" spans="1:8" ht="28">
      <c r="A14" s="2" t="s">
        <v>21</v>
      </c>
      <c r="B14" s="7" t="s">
        <v>22</v>
      </c>
      <c r="C14" s="2"/>
      <c r="D14" s="2"/>
      <c r="E14" s="2"/>
      <c r="F14" s="2"/>
      <c r="G14" s="2"/>
      <c r="H14" s="2"/>
    </row>
    <row r="15" spans="1:8">
      <c r="A15" s="2"/>
      <c r="B15" s="2"/>
      <c r="C15" s="2"/>
      <c r="D15" s="2"/>
      <c r="E15" s="2"/>
      <c r="F15" s="2"/>
      <c r="G15" s="2"/>
      <c r="H15" s="2"/>
    </row>
    <row r="16" spans="1:8">
      <c r="A16" s="2"/>
      <c r="B16" s="2"/>
      <c r="C16" s="2"/>
      <c r="D16" s="2"/>
      <c r="E16" s="2"/>
      <c r="F16" s="2"/>
      <c r="G16" s="2"/>
      <c r="H16" s="2"/>
    </row>
  </sheetData>
  <mergeCells count="1">
    <mergeCell ref="A1:H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6"/>
  <sheetViews>
    <sheetView workbookViewId="0">
      <selection activeCell="A24" sqref="A24:B24"/>
    </sheetView>
  </sheetViews>
  <sheetFormatPr defaultRowHeight="14"/>
  <cols>
    <col min="1" max="1" width="14" customWidth="1"/>
    <col min="2" max="2" width="50.4140625" customWidth="1"/>
    <col min="3" max="3" width="20" customWidth="1"/>
    <col min="4" max="5" width="16" customWidth="1"/>
    <col min="6" max="6" width="21" customWidth="1"/>
    <col min="7" max="7" width="42" customWidth="1"/>
  </cols>
  <sheetData>
    <row r="1" spans="1:7" ht="18">
      <c r="A1" s="45" t="s">
        <v>23</v>
      </c>
      <c r="B1" s="45"/>
      <c r="C1" s="45"/>
      <c r="D1" s="45"/>
      <c r="E1" s="45"/>
      <c r="F1" s="45"/>
      <c r="G1" s="45"/>
    </row>
    <row r="3" spans="1:7">
      <c r="A3" s="8" t="s">
        <v>24</v>
      </c>
      <c r="B3" s="8" t="s">
        <v>25</v>
      </c>
      <c r="C3" s="8" t="s">
        <v>26</v>
      </c>
      <c r="D3" s="8" t="s">
        <v>27</v>
      </c>
      <c r="E3" s="8" t="s">
        <v>28</v>
      </c>
      <c r="F3" s="8" t="s">
        <v>29</v>
      </c>
      <c r="G3" s="8" t="s">
        <v>30</v>
      </c>
    </row>
    <row r="4" spans="1:7">
      <c r="A4" s="11" t="s">
        <v>31</v>
      </c>
      <c r="B4" s="11" t="s">
        <v>32</v>
      </c>
      <c r="C4" s="11" t="s">
        <v>33</v>
      </c>
      <c r="D4" s="12"/>
      <c r="E4" s="12">
        <v>6382</v>
      </c>
      <c r="F4" s="13">
        <f>IF(D4&gt;0,D4,-E4)</f>
        <v>-6382</v>
      </c>
      <c r="G4" s="14"/>
    </row>
    <row r="5" spans="1:7">
      <c r="A5" s="11" t="s">
        <v>34</v>
      </c>
      <c r="B5" s="11" t="s">
        <v>35</v>
      </c>
      <c r="C5" s="11" t="s">
        <v>33</v>
      </c>
      <c r="D5" s="12"/>
      <c r="E5" s="12">
        <v>97951.71</v>
      </c>
      <c r="F5" s="13">
        <f t="shared" ref="F5:F25" si="0">IF(D5&gt;0,D5,-E5)</f>
        <v>-97951.71</v>
      </c>
      <c r="G5" s="14"/>
    </row>
    <row r="6" spans="1:7">
      <c r="A6" s="11" t="s">
        <v>36</v>
      </c>
      <c r="B6" s="11" t="s">
        <v>37</v>
      </c>
      <c r="C6" s="11" t="s">
        <v>33</v>
      </c>
      <c r="D6" s="12"/>
      <c r="E6" s="12">
        <v>63000</v>
      </c>
      <c r="F6" s="13">
        <f t="shared" si="0"/>
        <v>-63000</v>
      </c>
      <c r="G6" s="14"/>
    </row>
    <row r="7" spans="1:7">
      <c r="A7" s="11" t="s">
        <v>38</v>
      </c>
      <c r="B7" s="11" t="s">
        <v>39</v>
      </c>
      <c r="C7" s="11" t="s">
        <v>33</v>
      </c>
      <c r="D7" s="12"/>
      <c r="E7" s="12">
        <v>76.36</v>
      </c>
      <c r="F7" s="13">
        <f t="shared" si="0"/>
        <v>-76.36</v>
      </c>
      <c r="G7" s="14"/>
    </row>
    <row r="8" spans="1:7">
      <c r="A8" s="11" t="s">
        <v>40</v>
      </c>
      <c r="B8" s="11" t="s">
        <v>229</v>
      </c>
      <c r="C8" s="11" t="s">
        <v>42</v>
      </c>
      <c r="D8" s="12">
        <v>60522.39</v>
      </c>
      <c r="E8" s="12"/>
      <c r="F8" s="13">
        <f t="shared" si="0"/>
        <v>60522.39</v>
      </c>
      <c r="G8" s="14"/>
    </row>
    <row r="9" spans="1:7">
      <c r="A9" s="11" t="s">
        <v>43</v>
      </c>
      <c r="B9" s="11" t="s">
        <v>44</v>
      </c>
      <c r="C9" s="11" t="s">
        <v>42</v>
      </c>
      <c r="D9" s="12">
        <v>240</v>
      </c>
      <c r="E9" s="12"/>
      <c r="F9" s="13">
        <f t="shared" si="0"/>
        <v>240</v>
      </c>
      <c r="G9" s="14"/>
    </row>
    <row r="10" spans="1:7">
      <c r="A10" s="11" t="s">
        <v>45</v>
      </c>
      <c r="B10" s="11" t="s">
        <v>46</v>
      </c>
      <c r="C10" s="11" t="s">
        <v>42</v>
      </c>
      <c r="D10" s="12">
        <v>1876.97</v>
      </c>
      <c r="E10" s="12"/>
      <c r="F10" s="13">
        <f t="shared" si="0"/>
        <v>1876.97</v>
      </c>
      <c r="G10" s="14"/>
    </row>
    <row r="11" spans="1:7">
      <c r="A11" s="11" t="s">
        <v>47</v>
      </c>
      <c r="B11" s="11" t="s">
        <v>48</v>
      </c>
      <c r="C11" s="11" t="s">
        <v>49</v>
      </c>
      <c r="D11" s="12">
        <v>19080.95</v>
      </c>
      <c r="E11" s="12"/>
      <c r="F11" s="13">
        <f t="shared" si="0"/>
        <v>19080.95</v>
      </c>
      <c r="G11" s="14"/>
    </row>
    <row r="12" spans="1:7">
      <c r="A12" s="11" t="s">
        <v>230</v>
      </c>
      <c r="B12" s="11" t="s">
        <v>231</v>
      </c>
      <c r="C12" s="11" t="s">
        <v>49</v>
      </c>
      <c r="D12" s="12">
        <v>193.97</v>
      </c>
      <c r="E12" s="12"/>
      <c r="F12" s="13">
        <f t="shared" si="0"/>
        <v>193.97</v>
      </c>
      <c r="G12" s="14"/>
    </row>
    <row r="13" spans="1:7">
      <c r="A13" s="11" t="s">
        <v>50</v>
      </c>
      <c r="B13" s="11" t="s">
        <v>51</v>
      </c>
      <c r="C13" s="11" t="s">
        <v>49</v>
      </c>
      <c r="D13" s="12">
        <v>14.4</v>
      </c>
      <c r="E13" s="12"/>
      <c r="F13" s="13">
        <f t="shared" si="0"/>
        <v>14.4</v>
      </c>
      <c r="G13" s="14"/>
    </row>
    <row r="14" spans="1:7">
      <c r="A14" s="11" t="s">
        <v>52</v>
      </c>
      <c r="B14" s="11" t="s">
        <v>53</v>
      </c>
      <c r="C14" s="11" t="s">
        <v>49</v>
      </c>
      <c r="D14" s="12">
        <v>2739.83</v>
      </c>
      <c r="E14" s="12"/>
      <c r="F14" s="13">
        <f t="shared" si="0"/>
        <v>2739.83</v>
      </c>
      <c r="G14" s="14"/>
    </row>
    <row r="15" spans="1:7">
      <c r="A15" s="11" t="s">
        <v>54</v>
      </c>
      <c r="B15" s="11" t="s">
        <v>55</v>
      </c>
      <c r="C15" s="11" t="s">
        <v>49</v>
      </c>
      <c r="D15" s="12">
        <v>37.04</v>
      </c>
      <c r="E15" s="12"/>
      <c r="F15" s="13">
        <f t="shared" si="0"/>
        <v>37.04</v>
      </c>
      <c r="G15" s="14"/>
    </row>
    <row r="16" spans="1:7">
      <c r="A16" s="11" t="s">
        <v>56</v>
      </c>
      <c r="B16" s="11" t="s">
        <v>57</v>
      </c>
      <c r="C16" s="11" t="s">
        <v>49</v>
      </c>
      <c r="D16" s="12">
        <v>649.20000000000005</v>
      </c>
      <c r="E16" s="12"/>
      <c r="F16" s="13">
        <f t="shared" si="0"/>
        <v>649.20000000000005</v>
      </c>
      <c r="G16" s="14"/>
    </row>
    <row r="17" spans="1:7">
      <c r="A17" s="11" t="s">
        <v>58</v>
      </c>
      <c r="B17" s="11" t="s">
        <v>59</v>
      </c>
      <c r="C17" s="11" t="s">
        <v>49</v>
      </c>
      <c r="D17" s="12">
        <v>565.59</v>
      </c>
      <c r="E17" s="12"/>
      <c r="F17" s="13">
        <f t="shared" si="0"/>
        <v>565.59</v>
      </c>
      <c r="G17" s="14"/>
    </row>
    <row r="18" spans="1:7">
      <c r="A18" s="11" t="s">
        <v>60</v>
      </c>
      <c r="B18" s="11" t="s">
        <v>61</v>
      </c>
      <c r="C18" s="11" t="s">
        <v>49</v>
      </c>
      <c r="D18" s="12">
        <v>299.31</v>
      </c>
      <c r="E18" s="12"/>
      <c r="F18" s="13">
        <f t="shared" si="0"/>
        <v>299.31</v>
      </c>
      <c r="G18" s="14"/>
    </row>
    <row r="19" spans="1:7">
      <c r="A19" s="11" t="s">
        <v>62</v>
      </c>
      <c r="B19" s="11" t="s">
        <v>63</v>
      </c>
      <c r="C19" s="11" t="s">
        <v>49</v>
      </c>
      <c r="D19" s="12">
        <v>3550</v>
      </c>
      <c r="E19" s="12"/>
      <c r="F19" s="13">
        <f t="shared" si="0"/>
        <v>3550</v>
      </c>
      <c r="G19" s="14"/>
    </row>
    <row r="20" spans="1:7">
      <c r="A20" s="11" t="s">
        <v>64</v>
      </c>
      <c r="B20" s="11" t="s">
        <v>65</v>
      </c>
      <c r="C20" s="11" t="s">
        <v>49</v>
      </c>
      <c r="D20" s="12">
        <v>36</v>
      </c>
      <c r="E20" s="12"/>
      <c r="F20" s="13">
        <f t="shared" si="0"/>
        <v>36</v>
      </c>
      <c r="G20" s="14"/>
    </row>
    <row r="21" spans="1:7">
      <c r="A21" s="11" t="s">
        <v>66</v>
      </c>
      <c r="B21" s="11" t="s">
        <v>67</v>
      </c>
      <c r="C21" s="11" t="s">
        <v>68</v>
      </c>
      <c r="D21" s="12">
        <v>38.200000000000003</v>
      </c>
      <c r="E21" s="12"/>
      <c r="F21" s="13">
        <f t="shared" si="0"/>
        <v>38.200000000000003</v>
      </c>
      <c r="G21" s="14"/>
    </row>
    <row r="22" spans="1:7">
      <c r="A22" s="11"/>
      <c r="B22" s="11" t="s">
        <v>69</v>
      </c>
      <c r="C22" s="11" t="s">
        <v>70</v>
      </c>
      <c r="D22" s="12">
        <v>83849.56</v>
      </c>
      <c r="E22" s="12"/>
      <c r="F22" s="13">
        <f t="shared" si="0"/>
        <v>83849.56</v>
      </c>
      <c r="G22" s="14"/>
    </row>
    <row r="23" spans="1:7">
      <c r="A23" s="11" t="s">
        <v>71</v>
      </c>
      <c r="B23" s="11" t="s">
        <v>72</v>
      </c>
      <c r="C23" s="11" t="s">
        <v>73</v>
      </c>
      <c r="D23" s="12"/>
      <c r="E23" s="12">
        <v>7321.43</v>
      </c>
      <c r="F23" s="13">
        <f t="shared" si="0"/>
        <v>-7321.43</v>
      </c>
      <c r="G23" s="14"/>
    </row>
    <row r="24" spans="1:7">
      <c r="A24" s="11" t="s">
        <v>232</v>
      </c>
      <c r="B24" s="11" t="s">
        <v>228</v>
      </c>
      <c r="C24" s="11" t="s">
        <v>73</v>
      </c>
      <c r="D24" s="12"/>
      <c r="E24" s="12">
        <v>3507.15</v>
      </c>
      <c r="F24" s="13">
        <f t="shared" si="0"/>
        <v>-3507.15</v>
      </c>
      <c r="G24" s="14"/>
    </row>
    <row r="25" spans="1:7">
      <c r="A25" s="11" t="s">
        <v>74</v>
      </c>
      <c r="B25" s="11" t="s">
        <v>75</v>
      </c>
      <c r="C25" s="11" t="s">
        <v>73</v>
      </c>
      <c r="D25" s="12">
        <v>4545.24</v>
      </c>
      <c r="E25" s="12"/>
      <c r="F25" s="13">
        <f t="shared" si="0"/>
        <v>4545.24</v>
      </c>
      <c r="G25" s="14"/>
    </row>
    <row r="26" spans="1:7">
      <c r="A26" s="46" t="s">
        <v>76</v>
      </c>
      <c r="B26" s="46"/>
      <c r="C26" s="46"/>
      <c r="D26" s="10">
        <f>SUM(D4:D25)</f>
        <v>178238.64999999997</v>
      </c>
      <c r="E26" s="10">
        <f>SUM(E4:E25)</f>
        <v>178238.65</v>
      </c>
      <c r="F26" s="26">
        <f>D26-E26</f>
        <v>0</v>
      </c>
      <c r="G26" s="9"/>
    </row>
  </sheetData>
  <mergeCells count="2">
    <mergeCell ref="A1:G1"/>
    <mergeCell ref="A26:C2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25"/>
  <sheetViews>
    <sheetView workbookViewId="0">
      <selection activeCell="G18" sqref="G18"/>
    </sheetView>
  </sheetViews>
  <sheetFormatPr defaultRowHeight="14"/>
  <cols>
    <col min="1" max="1" width="13" customWidth="1"/>
    <col min="2" max="2" width="40.83203125" customWidth="1"/>
    <col min="3" max="3" width="16" customWidth="1"/>
    <col min="4" max="4" width="28" customWidth="1"/>
    <col min="5" max="5" width="16" customWidth="1"/>
    <col min="6" max="6" width="30" customWidth="1"/>
    <col min="7" max="7" width="17" customWidth="1"/>
    <col min="8" max="8" width="18" customWidth="1"/>
    <col min="9" max="9" width="14" customWidth="1"/>
    <col min="10" max="10" width="45" customWidth="1"/>
  </cols>
  <sheetData>
    <row r="1" spans="1:10" ht="18">
      <c r="A1" s="45" t="s">
        <v>77</v>
      </c>
      <c r="B1" s="45"/>
      <c r="C1" s="45"/>
      <c r="D1" s="45"/>
      <c r="E1" s="45"/>
      <c r="F1" s="45"/>
      <c r="G1" s="45"/>
      <c r="H1" s="45"/>
      <c r="I1" s="45"/>
      <c r="J1" s="45"/>
    </row>
    <row r="3" spans="1:10">
      <c r="A3" s="8" t="s">
        <v>24</v>
      </c>
      <c r="B3" s="8" t="s">
        <v>25</v>
      </c>
      <c r="C3" s="8" t="s">
        <v>78</v>
      </c>
      <c r="D3" s="8" t="s">
        <v>79</v>
      </c>
      <c r="E3" s="8" t="s">
        <v>80</v>
      </c>
      <c r="F3" s="8" t="s">
        <v>81</v>
      </c>
      <c r="G3" s="8" t="s">
        <v>82</v>
      </c>
      <c r="H3" s="8" t="s">
        <v>83</v>
      </c>
      <c r="I3" s="8" t="s">
        <v>84</v>
      </c>
      <c r="J3" s="8" t="s">
        <v>85</v>
      </c>
    </row>
    <row r="4" spans="1:10">
      <c r="A4" s="11" t="s">
        <v>31</v>
      </c>
      <c r="B4" s="11" t="s">
        <v>32</v>
      </c>
      <c r="C4" s="11" t="s">
        <v>86</v>
      </c>
      <c r="D4" s="11" t="s">
        <v>87</v>
      </c>
      <c r="E4" s="11" t="s">
        <v>88</v>
      </c>
      <c r="F4" s="11" t="s">
        <v>89</v>
      </c>
      <c r="G4" s="11" t="s">
        <v>90</v>
      </c>
      <c r="H4" s="15">
        <f>IF(G4="Credit positive",SUMIFS('Trial Balance'!$E$4:$E$25,'Trial Balance'!$A$4:$A$25,A4)+IF(A4="",SUMIFS('Trial Balance'!$E$4:$E$25,'Trial Balance'!$B$4:$B$25,B4),0),SUMIFS('Trial Balance'!$D$4:$D$25,'Trial Balance'!$A$4:$A$25,A4)+IF(A4="",SUMIFS('Trial Balance'!$D$4:$D$25,'Trial Balance'!$B$4:$B$25,B4),0))</f>
        <v>6382</v>
      </c>
      <c r="I4" s="16" t="s">
        <v>91</v>
      </c>
      <c r="J4" s="16"/>
    </row>
    <row r="5" spans="1:10">
      <c r="A5" s="11" t="s">
        <v>34</v>
      </c>
      <c r="B5" s="11" t="s">
        <v>35</v>
      </c>
      <c r="C5" s="11" t="s">
        <v>86</v>
      </c>
      <c r="D5" s="11" t="s">
        <v>87</v>
      </c>
      <c r="E5" s="11" t="s">
        <v>88</v>
      </c>
      <c r="F5" s="11" t="s">
        <v>89</v>
      </c>
      <c r="G5" s="11" t="s">
        <v>90</v>
      </c>
      <c r="H5" s="15">
        <f>IF(G5="Credit positive",SUMIFS('Trial Balance'!$E$4:$E$25,'Trial Balance'!$A$4:$A$25,A5)+IF(A5="",SUMIFS('Trial Balance'!$E$4:$E$25,'Trial Balance'!$B$4:$B$25,B5),0),SUMIFS('Trial Balance'!$D$4:$D$25,'Trial Balance'!$A$4:$A$25,A5)+IF(A5="",SUMIFS('Trial Balance'!$D$4:$D$25,'Trial Balance'!$B$4:$B$25,B5),0))</f>
        <v>97951.71</v>
      </c>
      <c r="I5" s="16" t="s">
        <v>91</v>
      </c>
      <c r="J5" s="16"/>
    </row>
    <row r="6" spans="1:10">
      <c r="A6" s="11" t="s">
        <v>36</v>
      </c>
      <c r="B6" s="11" t="s">
        <v>37</v>
      </c>
      <c r="C6" s="11" t="s">
        <v>86</v>
      </c>
      <c r="D6" s="11" t="s">
        <v>92</v>
      </c>
      <c r="E6" s="11" t="s">
        <v>88</v>
      </c>
      <c r="F6" s="11" t="s">
        <v>93</v>
      </c>
      <c r="G6" s="11" t="s">
        <v>90</v>
      </c>
      <c r="H6" s="15">
        <f>IF(G6="Credit positive",SUMIFS('Trial Balance'!$E$4:$E$25,'Trial Balance'!$A$4:$A$25,A6)+IF(A6="",SUMIFS('Trial Balance'!$E$4:$E$25,'Trial Balance'!$B$4:$B$25,B6),0),SUMIFS('Trial Balance'!$D$4:$D$25,'Trial Balance'!$A$4:$A$25,A6)+IF(A6="",SUMIFS('Trial Balance'!$D$4:$D$25,'Trial Balance'!$B$4:$B$25,B6),0))</f>
        <v>63000</v>
      </c>
      <c r="I6" s="16" t="s">
        <v>91</v>
      </c>
      <c r="J6" s="16"/>
    </row>
    <row r="7" spans="1:10">
      <c r="A7" s="11" t="s">
        <v>38</v>
      </c>
      <c r="B7" s="11" t="s">
        <v>39</v>
      </c>
      <c r="C7" s="11" t="s">
        <v>86</v>
      </c>
      <c r="D7" s="11" t="s">
        <v>94</v>
      </c>
      <c r="E7" s="11" t="s">
        <v>88</v>
      </c>
      <c r="F7" s="11" t="s">
        <v>95</v>
      </c>
      <c r="G7" s="11" t="s">
        <v>90</v>
      </c>
      <c r="H7" s="15">
        <f>IF(G7="Credit positive",SUMIFS('Trial Balance'!$E$4:$E$25,'Trial Balance'!$A$4:$A$25,A7)+IF(A7="",SUMIFS('Trial Balance'!$E$4:$E$25,'Trial Balance'!$B$4:$B$25,B7),0),SUMIFS('Trial Balance'!$D$4:$D$25,'Trial Balance'!$A$4:$A$25,A7)+IF(A7="",SUMIFS('Trial Balance'!$D$4:$D$25,'Trial Balance'!$B$4:$B$25,B7),0))</f>
        <v>76.36</v>
      </c>
      <c r="I7" s="16" t="s">
        <v>91</v>
      </c>
      <c r="J7" s="16"/>
    </row>
    <row r="8" spans="1:10">
      <c r="A8" s="11" t="s">
        <v>40</v>
      </c>
      <c r="B8" s="11" t="s">
        <v>41</v>
      </c>
      <c r="C8" s="11" t="s">
        <v>86</v>
      </c>
      <c r="D8" s="11" t="s">
        <v>101</v>
      </c>
      <c r="E8" s="11" t="s">
        <v>88</v>
      </c>
      <c r="F8" s="11" t="s">
        <v>102</v>
      </c>
      <c r="G8" s="11" t="s">
        <v>97</v>
      </c>
      <c r="H8" s="15">
        <f>IF(G8="Credit positive",SUMIFS('Trial Balance'!$E$4:$E$25,'Trial Balance'!$A$4:$A$25,A8)+IF(A8="",SUMIFS('Trial Balance'!$E$4:$E$25,'Trial Balance'!$B$4:$B$25,B8),0),SUMIFS('Trial Balance'!$D$4:$D$25,'Trial Balance'!$A$4:$A$25,A8)+IF(A8="",SUMIFS('Trial Balance'!$D$4:$D$25,'Trial Balance'!$B$4:$B$25,B8),0))</f>
        <v>60522.39</v>
      </c>
      <c r="I8" s="16" t="s">
        <v>91</v>
      </c>
      <c r="J8" s="16"/>
    </row>
    <row r="9" spans="1:10">
      <c r="A9" s="11" t="s">
        <v>43</v>
      </c>
      <c r="B9" s="11" t="s">
        <v>44</v>
      </c>
      <c r="C9" s="11" t="s">
        <v>86</v>
      </c>
      <c r="D9" s="11" t="s">
        <v>96</v>
      </c>
      <c r="E9" s="11" t="s">
        <v>88</v>
      </c>
      <c r="F9" s="11" t="s">
        <v>98</v>
      </c>
      <c r="G9" s="11" t="s">
        <v>97</v>
      </c>
      <c r="H9" s="15">
        <f>IF(G9="Credit positive",SUMIFS('Trial Balance'!$E$4:$E$25,'Trial Balance'!$A$4:$A$25,A9)+IF(A9="",SUMIFS('Trial Balance'!$E$4:$E$25,'Trial Balance'!$B$4:$B$25,B9),0),SUMIFS('Trial Balance'!$D$4:$D$25,'Trial Balance'!$A$4:$A$25,A9)+IF(A9="",SUMIFS('Trial Balance'!$D$4:$D$25,'Trial Balance'!$B$4:$B$25,B9),0))</f>
        <v>240</v>
      </c>
      <c r="I9" s="16" t="s">
        <v>91</v>
      </c>
      <c r="J9" s="16"/>
    </row>
    <row r="10" spans="1:10">
      <c r="A10" s="11" t="s">
        <v>45</v>
      </c>
      <c r="B10" s="11" t="s">
        <v>46</v>
      </c>
      <c r="C10" s="11" t="s">
        <v>86</v>
      </c>
      <c r="D10" s="11" t="s">
        <v>96</v>
      </c>
      <c r="E10" s="11" t="s">
        <v>88</v>
      </c>
      <c r="F10" s="11" t="s">
        <v>98</v>
      </c>
      <c r="G10" s="11" t="s">
        <v>97</v>
      </c>
      <c r="H10" s="15">
        <f>IF(G10="Credit positive",SUMIFS('Trial Balance'!$E$4:$E$25,'Trial Balance'!$A$4:$A$25,A10)+IF(A10="",SUMIFS('Trial Balance'!$E$4:$E$25,'Trial Balance'!$B$4:$B$25,B10),0),SUMIFS('Trial Balance'!$D$4:$D$25,'Trial Balance'!$A$4:$A$25,A10)+IF(A10="",SUMIFS('Trial Balance'!$D$4:$D$25,'Trial Balance'!$B$4:$B$25,B10),0))</f>
        <v>1876.97</v>
      </c>
      <c r="I10" s="16" t="s">
        <v>91</v>
      </c>
      <c r="J10" s="16"/>
    </row>
    <row r="11" spans="1:10">
      <c r="A11" s="11" t="s">
        <v>47</v>
      </c>
      <c r="B11" s="11" t="s">
        <v>48</v>
      </c>
      <c r="C11" s="11" t="s">
        <v>86</v>
      </c>
      <c r="D11" s="11" t="s">
        <v>96</v>
      </c>
      <c r="E11" s="11" t="s">
        <v>88</v>
      </c>
      <c r="F11" s="11" t="s">
        <v>99</v>
      </c>
      <c r="G11" s="11" t="s">
        <v>97</v>
      </c>
      <c r="H11" s="15">
        <f>IF(G11="Credit positive",SUMIFS('Trial Balance'!$E$4:$E$25,'Trial Balance'!$A$4:$A$25,A11)+IF(A11="",SUMIFS('Trial Balance'!$E$4:$E$25,'Trial Balance'!$B$4:$B$25,B11),0),SUMIFS('Trial Balance'!$D$4:$D$25,'Trial Balance'!$A$4:$A$25,A11)+IF(A11="",SUMIFS('Trial Balance'!$D$4:$D$25,'Trial Balance'!$B$4:$B$25,B11),0))</f>
        <v>19080.95</v>
      </c>
      <c r="I11" s="16" t="s">
        <v>91</v>
      </c>
      <c r="J11" s="16"/>
    </row>
    <row r="12" spans="1:10">
      <c r="A12" s="11" t="s">
        <v>230</v>
      </c>
      <c r="B12" s="11" t="s">
        <v>231</v>
      </c>
      <c r="C12" s="11" t="s">
        <v>86</v>
      </c>
      <c r="D12" s="11" t="s">
        <v>96</v>
      </c>
      <c r="E12" s="11" t="s">
        <v>88</v>
      </c>
      <c r="F12" s="11" t="s">
        <v>100</v>
      </c>
      <c r="G12" s="11" t="s">
        <v>97</v>
      </c>
      <c r="H12" s="15">
        <f>IF(G12="Credit positive",SUMIFS('Trial Balance'!$E$4:$E$25,'Trial Balance'!$A$4:$A$25,A12)+IF(A12="",SUMIFS('Trial Balance'!$E$4:$E$25,'Trial Balance'!$B$4:$B$25,B12),0),SUMIFS('Trial Balance'!$D$4:$D$25,'Trial Balance'!$A$4:$A$25,A12)+IF(A12="",SUMIFS('Trial Balance'!$D$4:$D$25,'Trial Balance'!$B$4:$B$25,B12),0))</f>
        <v>193.97</v>
      </c>
      <c r="I12" s="16" t="s">
        <v>91</v>
      </c>
      <c r="J12" s="16"/>
    </row>
    <row r="13" spans="1:10">
      <c r="A13" s="11" t="s">
        <v>50</v>
      </c>
      <c r="B13" s="11" t="s">
        <v>51</v>
      </c>
      <c r="C13" s="11" t="s">
        <v>86</v>
      </c>
      <c r="D13" s="11" t="s">
        <v>96</v>
      </c>
      <c r="E13" s="11" t="s">
        <v>88</v>
      </c>
      <c r="F13" s="11" t="s">
        <v>100</v>
      </c>
      <c r="G13" s="11" t="s">
        <v>97</v>
      </c>
      <c r="H13" s="15">
        <f>IF(G13="Credit positive",SUMIFS('Trial Balance'!$E$4:$E$25,'Trial Balance'!$A$4:$A$25,A13)+IF(A13="",SUMIFS('Trial Balance'!$E$4:$E$25,'Trial Balance'!$B$4:$B$25,B13),0),SUMIFS('Trial Balance'!$D$4:$D$25,'Trial Balance'!$A$4:$A$25,A13)+IF(A13="",SUMIFS('Trial Balance'!$D$4:$D$25,'Trial Balance'!$B$4:$B$25,B13),0))</f>
        <v>14.4</v>
      </c>
      <c r="I13" s="16" t="s">
        <v>91</v>
      </c>
      <c r="J13" s="16"/>
    </row>
    <row r="14" spans="1:10">
      <c r="A14" s="11" t="s">
        <v>52</v>
      </c>
      <c r="B14" s="11" t="s">
        <v>53</v>
      </c>
      <c r="C14" s="11" t="s">
        <v>86</v>
      </c>
      <c r="D14" s="11" t="s">
        <v>96</v>
      </c>
      <c r="E14" s="11" t="s">
        <v>88</v>
      </c>
      <c r="F14" s="11" t="s">
        <v>100</v>
      </c>
      <c r="G14" s="11" t="s">
        <v>97</v>
      </c>
      <c r="H14" s="15">
        <f>IF(G14="Credit positive",SUMIFS('Trial Balance'!$E$4:$E$25,'Trial Balance'!$A$4:$A$25,A14)+IF(A14="",SUMIFS('Trial Balance'!$E$4:$E$25,'Trial Balance'!$B$4:$B$25,B14),0),SUMIFS('Trial Balance'!$D$4:$D$25,'Trial Balance'!$A$4:$A$25,A14)+IF(A14="",SUMIFS('Trial Balance'!$D$4:$D$25,'Trial Balance'!$B$4:$B$25,B14),0))</f>
        <v>2739.83</v>
      </c>
      <c r="I14" s="16" t="s">
        <v>91</v>
      </c>
      <c r="J14" s="16"/>
    </row>
    <row r="15" spans="1:10">
      <c r="A15" s="11" t="s">
        <v>54</v>
      </c>
      <c r="B15" s="11" t="s">
        <v>55</v>
      </c>
      <c r="C15" s="11" t="s">
        <v>86</v>
      </c>
      <c r="D15" s="11" t="s">
        <v>96</v>
      </c>
      <c r="E15" s="11" t="s">
        <v>88</v>
      </c>
      <c r="F15" s="11" t="s">
        <v>100</v>
      </c>
      <c r="G15" s="11" t="s">
        <v>97</v>
      </c>
      <c r="H15" s="15">
        <f>IF(G15="Credit positive",SUMIFS('Trial Balance'!$E$4:$E$25,'Trial Balance'!$A$4:$A$25,A15)+IF(A15="",SUMIFS('Trial Balance'!$E$4:$E$25,'Trial Balance'!$B$4:$B$25,B15),0),SUMIFS('Trial Balance'!$D$4:$D$25,'Trial Balance'!$A$4:$A$25,A15)+IF(A15="",SUMIFS('Trial Balance'!$D$4:$D$25,'Trial Balance'!$B$4:$B$25,B15),0))</f>
        <v>37.04</v>
      </c>
      <c r="I15" s="16" t="s">
        <v>91</v>
      </c>
      <c r="J15" s="16"/>
    </row>
    <row r="16" spans="1:10">
      <c r="A16" s="11" t="s">
        <v>56</v>
      </c>
      <c r="B16" s="11" t="s">
        <v>57</v>
      </c>
      <c r="C16" s="11" t="s">
        <v>86</v>
      </c>
      <c r="D16" s="11" t="s">
        <v>96</v>
      </c>
      <c r="E16" s="11" t="s">
        <v>88</v>
      </c>
      <c r="F16" s="11" t="s">
        <v>100</v>
      </c>
      <c r="G16" s="11" t="s">
        <v>97</v>
      </c>
      <c r="H16" s="15">
        <f>IF(G16="Credit positive",SUMIFS('Trial Balance'!$E$4:$E$25,'Trial Balance'!$A$4:$A$25,A16)+IF(A16="",SUMIFS('Trial Balance'!$E$4:$E$25,'Trial Balance'!$B$4:$B$25,B16),0),SUMIFS('Trial Balance'!$D$4:$D$25,'Trial Balance'!$A$4:$A$25,A16)+IF(A16="",SUMIFS('Trial Balance'!$D$4:$D$25,'Trial Balance'!$B$4:$B$25,B16),0))</f>
        <v>649.20000000000005</v>
      </c>
      <c r="I16" s="16" t="s">
        <v>91</v>
      </c>
      <c r="J16" s="16"/>
    </row>
    <row r="17" spans="1:10">
      <c r="A17" s="11" t="s">
        <v>58</v>
      </c>
      <c r="B17" s="11" t="s">
        <v>59</v>
      </c>
      <c r="C17" s="11" t="s">
        <v>86</v>
      </c>
      <c r="D17" s="11" t="s">
        <v>96</v>
      </c>
      <c r="E17" s="11" t="s">
        <v>88</v>
      </c>
      <c r="F17" s="11" t="s">
        <v>100</v>
      </c>
      <c r="G17" s="11" t="s">
        <v>97</v>
      </c>
      <c r="H17" s="15">
        <f>IF(G17="Credit positive",SUMIFS('Trial Balance'!$E$4:$E$25,'Trial Balance'!$A$4:$A$25,A17)+IF(A17="",SUMIFS('Trial Balance'!$E$4:$E$25,'Trial Balance'!$B$4:$B$25,B17),0),SUMIFS('Trial Balance'!$D$4:$D$25,'Trial Balance'!$A$4:$A$25,A17)+IF(A17="",SUMIFS('Trial Balance'!$D$4:$D$25,'Trial Balance'!$B$4:$B$25,B17),0))</f>
        <v>565.59</v>
      </c>
      <c r="I17" s="16" t="s">
        <v>91</v>
      </c>
      <c r="J17" s="16"/>
    </row>
    <row r="18" spans="1:10">
      <c r="A18" s="11" t="s">
        <v>60</v>
      </c>
      <c r="B18" s="11" t="s">
        <v>61</v>
      </c>
      <c r="C18" s="11" t="s">
        <v>86</v>
      </c>
      <c r="D18" s="11" t="s">
        <v>96</v>
      </c>
      <c r="E18" s="11" t="s">
        <v>88</v>
      </c>
      <c r="F18" s="11" t="s">
        <v>100</v>
      </c>
      <c r="G18" s="11" t="s">
        <v>97</v>
      </c>
      <c r="H18" s="15">
        <f>IF(G18="Credit positive",SUMIFS('Trial Balance'!$E$4:$E$25,'Trial Balance'!$A$4:$A$25,A18)+IF(A18="",SUMIFS('Trial Balance'!$E$4:$E$25,'Trial Balance'!$B$4:$B$25,B18),0),SUMIFS('Trial Balance'!$D$4:$D$25,'Trial Balance'!$A$4:$A$25,A18)+IF(A18="",SUMIFS('Trial Balance'!$D$4:$D$25,'Trial Balance'!$B$4:$B$25,B18),0))</f>
        <v>299.31</v>
      </c>
      <c r="I18" s="16" t="s">
        <v>91</v>
      </c>
      <c r="J18" s="16"/>
    </row>
    <row r="19" spans="1:10">
      <c r="A19" s="11" t="s">
        <v>62</v>
      </c>
      <c r="B19" s="11" t="s">
        <v>63</v>
      </c>
      <c r="C19" s="11" t="s">
        <v>86</v>
      </c>
      <c r="D19" s="11" t="s">
        <v>96</v>
      </c>
      <c r="E19" s="11" t="s">
        <v>88</v>
      </c>
      <c r="F19" s="11" t="s">
        <v>103</v>
      </c>
      <c r="G19" s="11" t="s">
        <v>97</v>
      </c>
      <c r="H19" s="15">
        <f>IF(G19="Credit positive",SUMIFS('Trial Balance'!$E$4:$E$25,'Trial Balance'!$A$4:$A$25,A19)+IF(A19="",SUMIFS('Trial Balance'!$E$4:$E$25,'Trial Balance'!$B$4:$B$25,B19),0),SUMIFS('Trial Balance'!$D$4:$D$25,'Trial Balance'!$A$4:$A$25,A19)+IF(A19="",SUMIFS('Trial Balance'!$D$4:$D$25,'Trial Balance'!$B$4:$B$25,B19),0))</f>
        <v>3550</v>
      </c>
      <c r="I19" s="16" t="s">
        <v>91</v>
      </c>
      <c r="J19" s="16"/>
    </row>
    <row r="20" spans="1:10">
      <c r="A20" s="11" t="s">
        <v>64</v>
      </c>
      <c r="B20" s="11" t="s">
        <v>65</v>
      </c>
      <c r="C20" s="11" t="s">
        <v>86</v>
      </c>
      <c r="D20" s="11" t="s">
        <v>96</v>
      </c>
      <c r="E20" s="11" t="s">
        <v>88</v>
      </c>
      <c r="F20" s="11" t="s">
        <v>100</v>
      </c>
      <c r="G20" s="11" t="s">
        <v>97</v>
      </c>
      <c r="H20" s="15">
        <f>IF(G20="Credit positive",SUMIFS('Trial Balance'!$E$4:$E$25,'Trial Balance'!$A$4:$A$25,A20)+IF(A20="",SUMIFS('Trial Balance'!$E$4:$E$25,'Trial Balance'!$B$4:$B$25,B20),0),SUMIFS('Trial Balance'!$D$4:$D$25,'Trial Balance'!$A$4:$A$25,A20)+IF(A20="",SUMIFS('Trial Balance'!$D$4:$D$25,'Trial Balance'!$B$4:$B$25,B20),0))</f>
        <v>36</v>
      </c>
      <c r="I20" s="16" t="s">
        <v>91</v>
      </c>
      <c r="J20" s="16"/>
    </row>
    <row r="21" spans="1:10">
      <c r="A21" s="11" t="s">
        <v>66</v>
      </c>
      <c r="B21" s="11" t="s">
        <v>67</v>
      </c>
      <c r="C21" s="11" t="s">
        <v>86</v>
      </c>
      <c r="D21" s="11" t="s">
        <v>101</v>
      </c>
      <c r="E21" s="11" t="s">
        <v>88</v>
      </c>
      <c r="F21" s="11" t="s">
        <v>102</v>
      </c>
      <c r="G21" s="11" t="s">
        <v>97</v>
      </c>
      <c r="H21" s="15">
        <f>IF(G21="Credit positive",SUMIFS('Trial Balance'!$E$4:$E$25,'Trial Balance'!$A$4:$A$25,A21)+IF(A21="",SUMIFS('Trial Balance'!$E$4:$E$25,'Trial Balance'!$B$4:$B$25,B21),0),SUMIFS('Trial Balance'!$D$4:$D$25,'Trial Balance'!$A$4:$A$25,A21)+IF(A21="",SUMIFS('Trial Balance'!$D$4:$D$25,'Trial Balance'!$B$4:$B$25,B21),0))</f>
        <v>38.200000000000003</v>
      </c>
      <c r="I21" s="16" t="s">
        <v>91</v>
      </c>
      <c r="J21" s="16"/>
    </row>
    <row r="22" spans="1:10">
      <c r="A22" s="11"/>
      <c r="B22" s="11" t="s">
        <v>69</v>
      </c>
      <c r="C22" s="11" t="s">
        <v>104</v>
      </c>
      <c r="D22" s="11" t="s">
        <v>105</v>
      </c>
      <c r="E22" s="11" t="s">
        <v>88</v>
      </c>
      <c r="F22" s="11" t="s">
        <v>106</v>
      </c>
      <c r="G22" s="11" t="s">
        <v>97</v>
      </c>
      <c r="H22" s="15">
        <f>IF(G22="Credit positive",SUMIFS('Trial Balance'!$E$4:$E$25,'Trial Balance'!$A$4:$A$25,A22)+IF(A22="",SUMIFS('Trial Balance'!$E$4:$E$25,'Trial Balance'!$B$4:$B$25,B22),0),SUMIFS('Trial Balance'!$D$4:$D$25,'Trial Balance'!$A$4:$A$25,A22)+IF(A22="",SUMIFS('Trial Balance'!$D$4:$D$25,'Trial Balance'!$B$4:$B$25,B22),0))</f>
        <v>83849.56</v>
      </c>
      <c r="I22" s="16" t="s">
        <v>91</v>
      </c>
      <c r="J22" s="16"/>
    </row>
    <row r="23" spans="1:10">
      <c r="A23" s="11" t="s">
        <v>71</v>
      </c>
      <c r="B23" s="11" t="s">
        <v>72</v>
      </c>
      <c r="C23" s="11" t="s">
        <v>104</v>
      </c>
      <c r="D23" s="11" t="s">
        <v>107</v>
      </c>
      <c r="E23" s="11" t="s">
        <v>88</v>
      </c>
      <c r="F23" s="11" t="s">
        <v>108</v>
      </c>
      <c r="G23" s="11" t="s">
        <v>90</v>
      </c>
      <c r="H23" s="15">
        <f>IF(G23="Credit positive",SUMIFS('Trial Balance'!$E$4:$E$25,'Trial Balance'!$A$4:$A$25,A23)+IF(A23="",SUMIFS('Trial Balance'!$E$4:$E$25,'Trial Balance'!$B$4:$B$25,B23),0),SUMIFS('Trial Balance'!$D$4:$D$25,'Trial Balance'!$A$4:$A$25,A23)+IF(A23="",SUMIFS('Trial Balance'!$D$4:$D$25,'Trial Balance'!$B$4:$B$25,B23),0))</f>
        <v>7321.43</v>
      </c>
      <c r="I23" s="16" t="s">
        <v>91</v>
      </c>
      <c r="J23" s="16"/>
    </row>
    <row r="24" spans="1:10">
      <c r="A24" s="11" t="s">
        <v>232</v>
      </c>
      <c r="B24" s="11" t="s">
        <v>228</v>
      </c>
      <c r="C24" s="11" t="s">
        <v>104</v>
      </c>
      <c r="D24" s="11" t="s">
        <v>107</v>
      </c>
      <c r="E24" s="11" t="s">
        <v>88</v>
      </c>
      <c r="F24" s="11" t="s">
        <v>228</v>
      </c>
      <c r="G24" s="11" t="s">
        <v>90</v>
      </c>
      <c r="H24" s="15">
        <f>IF(G24="Credit positive",SUMIFS('Trial Balance'!$E$4:$E$25,'Trial Balance'!$A$4:$A$25,A24)+IF(A24="",SUMIFS('Trial Balance'!$E$4:$E$25,'Trial Balance'!$B$4:$B$25,B24),0),SUMIFS('Trial Balance'!$D$4:$D$25,'Trial Balance'!$A$4:$A$25,A24)+IF(A24="",SUMIFS('Trial Balance'!$D$4:$D$25,'Trial Balance'!$B$4:$B$25,B24),0))</f>
        <v>3507.15</v>
      </c>
      <c r="I24" s="16" t="s">
        <v>91</v>
      </c>
      <c r="J24" s="16"/>
    </row>
    <row r="25" spans="1:10">
      <c r="A25" s="11" t="s">
        <v>74</v>
      </c>
      <c r="B25" s="11" t="s">
        <v>75</v>
      </c>
      <c r="C25" s="11" t="s">
        <v>104</v>
      </c>
      <c r="D25" s="11" t="s">
        <v>109</v>
      </c>
      <c r="E25" s="11" t="s">
        <v>88</v>
      </c>
      <c r="F25" s="11" t="s">
        <v>110</v>
      </c>
      <c r="G25" s="11" t="s">
        <v>97</v>
      </c>
      <c r="H25" s="15">
        <f>IF(G25="Credit positive",SUMIFS('Trial Balance'!$E$4:$E$25,'Trial Balance'!$A$4:$A$25,A25)+IF(A25="",SUMIFS('Trial Balance'!$E$4:$E$25,'Trial Balance'!$B$4:$B$25,B25),0),SUMIFS('Trial Balance'!$D$4:$D$25,'Trial Balance'!$A$4:$A$25,A25)+IF(A25="",SUMIFS('Trial Balance'!$D$4:$D$25,'Trial Balance'!$B$4:$B$25,B25),0))</f>
        <v>4545.24</v>
      </c>
      <c r="I25" s="16" t="s">
        <v>91</v>
      </c>
      <c r="J25" s="16"/>
    </row>
  </sheetData>
  <mergeCells count="1">
    <mergeCell ref="A1:J1"/>
  </mergeCells>
  <dataValidations count="2">
    <dataValidation type="list" sqref="E4:E25" xr:uid="{00000000-0002-0000-0200-000000000000}">
      <formula1>"Unrestricted,Restricted,Endowment"</formula1>
    </dataValidation>
    <dataValidation type="list" sqref="I4:I25" xr:uid="{00000000-0002-0000-0200-000001000000}">
      <formula1>"OK,Review,Not applicable"</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26"/>
  <sheetViews>
    <sheetView workbookViewId="0">
      <selection activeCell="F6" sqref="F6:F13"/>
    </sheetView>
  </sheetViews>
  <sheetFormatPr defaultRowHeight="14"/>
  <cols>
    <col min="1" max="1" width="40" customWidth="1"/>
    <col min="2" max="2" width="10" customWidth="1"/>
    <col min="3" max="4" width="20" customWidth="1"/>
    <col min="5" max="6" width="18" customWidth="1"/>
  </cols>
  <sheetData>
    <row r="1" spans="1:6">
      <c r="A1" s="47" t="s">
        <v>111</v>
      </c>
      <c r="B1" s="47"/>
      <c r="C1" s="47"/>
      <c r="D1" s="47"/>
      <c r="E1" s="47"/>
      <c r="F1" s="47"/>
    </row>
    <row r="2" spans="1:6">
      <c r="A2" s="47" t="s">
        <v>112</v>
      </c>
      <c r="B2" s="47"/>
      <c r="C2" s="47"/>
      <c r="D2" s="47"/>
      <c r="E2" s="47"/>
      <c r="F2" s="47"/>
    </row>
    <row r="3" spans="1:6">
      <c r="A3" s="47" t="s">
        <v>113</v>
      </c>
      <c r="B3" s="47"/>
      <c r="C3" s="47"/>
      <c r="D3" s="47"/>
      <c r="E3" s="47"/>
      <c r="F3" s="47"/>
    </row>
    <row r="5" spans="1:6">
      <c r="A5" s="8"/>
      <c r="B5" s="8" t="s">
        <v>114</v>
      </c>
      <c r="C5" s="8" t="s">
        <v>115</v>
      </c>
      <c r="D5" s="8" t="s">
        <v>116</v>
      </c>
      <c r="E5" s="8" t="s">
        <v>221</v>
      </c>
      <c r="F5" s="8" t="s">
        <v>117</v>
      </c>
    </row>
    <row r="6" spans="1:6">
      <c r="A6" s="1" t="s">
        <v>118</v>
      </c>
      <c r="B6" s="1"/>
      <c r="C6" s="18"/>
      <c r="D6" s="18"/>
      <c r="E6" s="18"/>
      <c r="F6" s="18"/>
    </row>
    <row r="7" spans="1:6">
      <c r="A7" t="s">
        <v>87</v>
      </c>
      <c r="B7" t="s">
        <v>119</v>
      </c>
      <c r="C7" s="19">
        <f>SUMIFS(Mapping!$H$4:$H$25,Mapping!$C$4:$C$25,"SOFA",Mapping!$D$4:$D$25,$A7,Mapping!$E$4:$E$25,"Unrestricted",Mapping!$G$4:$G$25,"Credit positive")</f>
        <v>104333.71</v>
      </c>
      <c r="D7" s="19">
        <f>SUMIFS(Mapping!$H$4:$H$25,Mapping!$C$4:$C$25,"SOFA",Mapping!$D$4:$D$25,$A7,Mapping!$E$4:$E$25,"Restricted",Mapping!$G$4:$G$25,"Credit positive")</f>
        <v>0</v>
      </c>
      <c r="E7" s="19">
        <f>SUM(C7:D7)</f>
        <v>104333.71</v>
      </c>
      <c r="F7" s="19">
        <v>0</v>
      </c>
    </row>
    <row r="8" spans="1:6">
      <c r="A8" t="s">
        <v>96</v>
      </c>
      <c r="B8" t="s">
        <v>119</v>
      </c>
      <c r="C8" s="19">
        <f>SUMIFS(Mapping!$H$4:$H$25,Mapping!$C$4:$C$25,"SOFA",Mapping!$D$4:$D$25,$A8,Mapping!$E$4:$E$25,"Unrestricted",Mapping!$G$4:$G$25,"Credit positive")</f>
        <v>0</v>
      </c>
      <c r="D8" s="19">
        <f>SUMIFS(Mapping!$H$4:$H$25,Mapping!$C$4:$C$25,"SOFA",Mapping!$D$4:$D$25,$A8,Mapping!$E$4:$E$25,"Restricted",Mapping!$G$4:$G$25,"Credit positive")</f>
        <v>0</v>
      </c>
      <c r="E8" s="19">
        <f>SUM(C8:D8)</f>
        <v>0</v>
      </c>
      <c r="F8" s="19">
        <v>0</v>
      </c>
    </row>
    <row r="9" spans="1:6">
      <c r="A9" t="s">
        <v>92</v>
      </c>
      <c r="B9" t="s">
        <v>119</v>
      </c>
      <c r="C9" s="19">
        <f>SUMIFS(Mapping!$H$4:$H$25,Mapping!$C$4:$C$25,"SOFA",Mapping!$D$4:$D$25,$A9,Mapping!$E$4:$E$25,"Unrestricted",Mapping!$G$4:$G$25,"Credit positive")</f>
        <v>63000</v>
      </c>
      <c r="D9" s="19">
        <f>SUMIFS(Mapping!$H$4:$H$25,Mapping!$C$4:$C$25,"SOFA",Mapping!$D$4:$D$25,$A9,Mapping!$E$4:$E$25,"Restricted",Mapping!$G$4:$G$25,"Credit positive")</f>
        <v>0</v>
      </c>
      <c r="E9" s="19">
        <f>SUM(C9:D9)</f>
        <v>63000</v>
      </c>
      <c r="F9" s="19">
        <v>0</v>
      </c>
    </row>
    <row r="10" spans="1:6">
      <c r="A10" t="s">
        <v>94</v>
      </c>
      <c r="B10" t="s">
        <v>119</v>
      </c>
      <c r="C10" s="19">
        <f>SUMIFS(Mapping!$H$4:$H$25,Mapping!$C$4:$C$25,"SOFA",Mapping!$D$4:$D$25,$A10,Mapping!$E$4:$E$25,"Unrestricted",Mapping!$G$4:$G$25,"Credit positive")</f>
        <v>76.36</v>
      </c>
      <c r="D10" s="19">
        <f>SUMIFS(Mapping!$H$4:$H$25,Mapping!$C$4:$C$25,"SOFA",Mapping!$D$4:$D$25,$A10,Mapping!$E$4:$E$25,"Restricted",Mapping!$G$4:$G$25,"Credit positive")</f>
        <v>0</v>
      </c>
      <c r="E10" s="19">
        <f>SUM(C10:D10)</f>
        <v>76.36</v>
      </c>
      <c r="F10" s="19">
        <v>0</v>
      </c>
    </row>
    <row r="11" spans="1:6">
      <c r="A11" t="s">
        <v>120</v>
      </c>
      <c r="B11" t="s">
        <v>119</v>
      </c>
      <c r="C11" s="19">
        <f>SUMIFS(Mapping!$H$4:$H$25,Mapping!$C$4:$C$25,"SOFA",Mapping!$D$4:$D$25,$A11,Mapping!$E$4:$E$25,"Unrestricted",Mapping!$G$4:$G$25,"Credit positive")</f>
        <v>0</v>
      </c>
      <c r="D11" s="19">
        <f>SUMIFS(Mapping!$H$4:$H$25,Mapping!$C$4:$C$25,"SOFA",Mapping!$D$4:$D$25,$A11,Mapping!$E$4:$E$25,"Restricted",Mapping!$G$4:$G$25,"Credit positive")</f>
        <v>0</v>
      </c>
      <c r="E11" s="19">
        <f>SUM(C11:D11)</f>
        <v>0</v>
      </c>
      <c r="F11" s="19">
        <v>0</v>
      </c>
    </row>
    <row r="12" spans="1:6">
      <c r="A12" s="17" t="s">
        <v>121</v>
      </c>
      <c r="B12" s="17"/>
      <c r="C12" s="20">
        <f>SUM(C7:C11)</f>
        <v>167410.07</v>
      </c>
      <c r="D12" s="20">
        <f>SUM(D7:D11)</f>
        <v>0</v>
      </c>
      <c r="E12" s="20">
        <f>SUM(E7:E11)</f>
        <v>167410.07</v>
      </c>
      <c r="F12" s="20">
        <v>0</v>
      </c>
    </row>
    <row r="13" spans="1:6">
      <c r="C13" s="19"/>
      <c r="D13" s="19"/>
      <c r="E13" s="19"/>
      <c r="F13" s="19"/>
    </row>
    <row r="14" spans="1:6">
      <c r="A14" s="1" t="s">
        <v>122</v>
      </c>
      <c r="B14" s="1"/>
      <c r="C14" s="21"/>
      <c r="D14" s="21"/>
      <c r="E14" s="21"/>
      <c r="F14" s="21"/>
    </row>
    <row r="15" spans="1:6">
      <c r="A15" t="s">
        <v>101</v>
      </c>
      <c r="B15" t="s">
        <v>123</v>
      </c>
      <c r="C15" s="19">
        <f>SUMIFS(Mapping!$H$4:$H$25,Mapping!$C$4:$C$25,"SOFA",Mapping!$D$4:$D$25,$A15,Mapping!$E$4:$E$25,"Unrestricted",Mapping!$G$4:$G$25,"Debit positive")</f>
        <v>60560.59</v>
      </c>
      <c r="D15" s="19">
        <f>SUMIFS(Mapping!$H$4:$H$25,Mapping!$C$4:$C$25,"SOFA",Mapping!$D$4:$D$25,$A15,Mapping!$E$4:$E$25,"Restricted",Mapping!$G$4:$G$25,"Debit positive")</f>
        <v>0</v>
      </c>
      <c r="E15" s="19">
        <f>SUM(C15:D15)</f>
        <v>60560.59</v>
      </c>
      <c r="F15" s="19">
        <v>0</v>
      </c>
    </row>
    <row r="16" spans="1:6">
      <c r="A16" t="s">
        <v>96</v>
      </c>
      <c r="B16" t="s">
        <v>123</v>
      </c>
      <c r="C16" s="19">
        <f>SUMIFS(Mapping!$H$4:$H$25,Mapping!$C$4:$C$25,"SOFA",Mapping!$D$4:$D$25,$A16,Mapping!$E$4:$E$25,"Unrestricted",Mapping!$G$4:$G$25,"Debit positive")</f>
        <v>29283.260000000006</v>
      </c>
      <c r="D16" s="19">
        <f>SUMIFS(Mapping!$H$4:$H$25,Mapping!$C$4:$C$25,"SOFA",Mapping!$D$4:$D$25,$A16,Mapping!$E$4:$E$25,"Restricted",Mapping!$G$4:$G$25,"Debit positive")</f>
        <v>0</v>
      </c>
      <c r="E16" s="19">
        <f>SUM(C16:D16)</f>
        <v>29283.260000000006</v>
      </c>
      <c r="F16" s="19">
        <v>0</v>
      </c>
    </row>
    <row r="17" spans="1:6">
      <c r="A17" t="s">
        <v>124</v>
      </c>
      <c r="B17" t="s">
        <v>123</v>
      </c>
      <c r="C17" s="19">
        <f>SUMIFS(Mapping!$H$4:$H$25,Mapping!$C$4:$C$25,"SOFA",Mapping!$D$4:$D$25,$A17,Mapping!$E$4:$E$25,"Unrestricted",Mapping!$G$4:$G$25,"Debit positive")</f>
        <v>0</v>
      </c>
      <c r="D17" s="19">
        <f>SUMIFS(Mapping!$H$4:$H$25,Mapping!$C$4:$C$25,"SOFA",Mapping!$D$4:$D$25,$A17,Mapping!$E$4:$E$25,"Restricted",Mapping!$G$4:$G$25,"Debit positive")</f>
        <v>0</v>
      </c>
      <c r="E17" s="19">
        <f>SUM(C17:D17)</f>
        <v>0</v>
      </c>
      <c r="F17" s="19">
        <v>0</v>
      </c>
    </row>
    <row r="18" spans="1:6">
      <c r="A18" s="17" t="s">
        <v>125</v>
      </c>
      <c r="B18" s="17"/>
      <c r="C18" s="20">
        <f>SUM(C15:C17)</f>
        <v>89843.85</v>
      </c>
      <c r="D18" s="20">
        <f>SUM(D15:D17)</f>
        <v>0</v>
      </c>
      <c r="E18" s="20">
        <f>SUM(E15:E17)</f>
        <v>89843.85</v>
      </c>
      <c r="F18" s="20">
        <v>0</v>
      </c>
    </row>
    <row r="19" spans="1:6">
      <c r="C19" s="19"/>
      <c r="D19" s="19"/>
      <c r="E19" s="19"/>
      <c r="F19" s="19"/>
    </row>
    <row r="20" spans="1:6">
      <c r="A20" s="17" t="s">
        <v>126</v>
      </c>
      <c r="B20" s="17"/>
      <c r="C20" s="20">
        <f>C12-C18</f>
        <v>77566.22</v>
      </c>
      <c r="D20" s="20">
        <f>D12-D18</f>
        <v>0</v>
      </c>
      <c r="E20" s="20">
        <f>E12-E18</f>
        <v>77566.22</v>
      </c>
      <c r="F20" s="20">
        <f>F12-F18</f>
        <v>0</v>
      </c>
    </row>
    <row r="21" spans="1:6">
      <c r="A21" t="s">
        <v>127</v>
      </c>
      <c r="C21" s="19">
        <v>0</v>
      </c>
      <c r="D21" s="19">
        <v>0</v>
      </c>
      <c r="E21" s="19">
        <v>0</v>
      </c>
      <c r="F21" s="19">
        <v>0</v>
      </c>
    </row>
    <row r="22" spans="1:6">
      <c r="A22" s="17" t="s">
        <v>128</v>
      </c>
      <c r="B22" s="17"/>
      <c r="C22" s="20">
        <f>C20+C21</f>
        <v>77566.22</v>
      </c>
      <c r="D22" s="20">
        <f>D20+D21</f>
        <v>0</v>
      </c>
      <c r="E22" s="20">
        <f>E20+E21</f>
        <v>77566.22</v>
      </c>
      <c r="F22" s="20">
        <f>F20+F21</f>
        <v>0</v>
      </c>
    </row>
    <row r="23" spans="1:6">
      <c r="C23" s="19"/>
      <c r="D23" s="19"/>
      <c r="E23" s="19"/>
      <c r="F23" s="19"/>
    </row>
    <row r="24" spans="1:6">
      <c r="A24" s="1" t="s">
        <v>129</v>
      </c>
      <c r="B24" s="1"/>
      <c r="C24" s="21"/>
      <c r="D24" s="21"/>
      <c r="E24" s="21"/>
      <c r="F24" s="21"/>
    </row>
    <row r="25" spans="1:6">
      <c r="A25" t="s">
        <v>130</v>
      </c>
      <c r="C25" s="19">
        <v>0</v>
      </c>
      <c r="D25" s="19">
        <v>0</v>
      </c>
      <c r="E25" s="19">
        <v>0</v>
      </c>
      <c r="F25" s="19">
        <v>0</v>
      </c>
    </row>
    <row r="26" spans="1:6">
      <c r="A26" s="17" t="s">
        <v>131</v>
      </c>
      <c r="B26" s="17"/>
      <c r="C26" s="20">
        <f>C25+C22</f>
        <v>77566.22</v>
      </c>
      <c r="D26" s="20">
        <f>D25+D22</f>
        <v>0</v>
      </c>
      <c r="E26" s="20">
        <f>E25+E22</f>
        <v>77566.22</v>
      </c>
      <c r="F26" s="20">
        <f>F25+F22</f>
        <v>0</v>
      </c>
    </row>
  </sheetData>
  <mergeCells count="3">
    <mergeCell ref="A1:F1"/>
    <mergeCell ref="A2:F2"/>
    <mergeCell ref="A3:F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24"/>
  <sheetViews>
    <sheetView topLeftCell="A7" workbookViewId="0">
      <selection activeCell="C11" sqref="C11"/>
    </sheetView>
  </sheetViews>
  <sheetFormatPr defaultRowHeight="14"/>
  <cols>
    <col min="1" max="1" width="47" customWidth="1"/>
    <col min="2" max="2" width="10" customWidth="1"/>
    <col min="3" max="4" width="20" customWidth="1"/>
    <col min="5" max="6" width="18" customWidth="1"/>
  </cols>
  <sheetData>
    <row r="1" spans="1:6">
      <c r="A1" s="47" t="s">
        <v>111</v>
      </c>
      <c r="B1" s="47"/>
      <c r="C1" s="47"/>
      <c r="D1" s="47"/>
      <c r="E1" s="47"/>
      <c r="F1" s="47"/>
    </row>
    <row r="2" spans="1:6">
      <c r="A2" s="47" t="s">
        <v>132</v>
      </c>
      <c r="B2" s="47"/>
      <c r="C2" s="47"/>
      <c r="D2" s="47"/>
      <c r="E2" s="47"/>
      <c r="F2" s="47"/>
    </row>
    <row r="3" spans="1:6">
      <c r="A3" s="47" t="s">
        <v>133</v>
      </c>
      <c r="B3" s="47"/>
      <c r="C3" s="47"/>
      <c r="D3" s="47"/>
      <c r="E3" s="47"/>
      <c r="F3" s="47"/>
    </row>
    <row r="5" spans="1:6">
      <c r="A5" s="8"/>
      <c r="B5" s="8" t="s">
        <v>114</v>
      </c>
      <c r="C5" s="8" t="s">
        <v>115</v>
      </c>
      <c r="D5" s="8" t="s">
        <v>116</v>
      </c>
      <c r="E5" s="8" t="s">
        <v>221</v>
      </c>
      <c r="F5" s="8" t="s">
        <v>117</v>
      </c>
    </row>
    <row r="6" spans="1:6">
      <c r="A6" s="1" t="s">
        <v>134</v>
      </c>
      <c r="B6" s="1"/>
      <c r="C6" s="18"/>
      <c r="D6" s="18"/>
      <c r="E6" s="18"/>
      <c r="F6" s="18"/>
    </row>
    <row r="7" spans="1:6">
      <c r="A7" t="s">
        <v>135</v>
      </c>
      <c r="B7" t="s">
        <v>136</v>
      </c>
      <c r="C7" s="19">
        <f>SUMIFS(Mapping!$H$4:$H$25,Mapping!$C$4:$C$25,"Balance Sheet",Mapping!$D$4:$D$25,"Tangible fixed assets",Mapping!$E$4:$E$25,"Unrestricted")</f>
        <v>0</v>
      </c>
      <c r="D7" s="19">
        <f>SUMIFS(Mapping!$H$4:$H$25,Mapping!$C$4:$C$25,"Balance Sheet",Mapping!$D$4:$D$25,"Tangible fixed assets",Mapping!$E$4:$E$25,"Restricted")</f>
        <v>0</v>
      </c>
      <c r="E7" s="19">
        <f>SUM(C7:D7)</f>
        <v>0</v>
      </c>
      <c r="F7" s="19">
        <v>0</v>
      </c>
    </row>
    <row r="8" spans="1:6">
      <c r="A8" s="17" t="s">
        <v>137</v>
      </c>
      <c r="B8" s="17"/>
      <c r="C8" s="20">
        <f>C7</f>
        <v>0</v>
      </c>
      <c r="D8" s="20">
        <f>D7</f>
        <v>0</v>
      </c>
      <c r="E8" s="20">
        <f>E7</f>
        <v>0</v>
      </c>
      <c r="F8" s="20">
        <f>F7</f>
        <v>0</v>
      </c>
    </row>
    <row r="9" spans="1:6">
      <c r="C9" s="19"/>
      <c r="D9" s="19"/>
      <c r="E9" s="19"/>
      <c r="F9" s="19"/>
    </row>
    <row r="10" spans="1:6">
      <c r="A10" s="1" t="s">
        <v>138</v>
      </c>
      <c r="B10" s="1"/>
      <c r="C10" s="21"/>
      <c r="D10" s="21"/>
      <c r="E10" s="21"/>
      <c r="F10" s="21"/>
    </row>
    <row r="11" spans="1:6">
      <c r="A11" t="s">
        <v>109</v>
      </c>
      <c r="B11" t="s">
        <v>139</v>
      </c>
      <c r="C11" s="19">
        <f>SUMIFS(Mapping!$H$4:$H$25,Mapping!$C$4:$C$25,"Balance Sheet",Mapping!$D$4:$D$25,"Debtors",Mapping!$E$4:$E$25,"Unrestricted")</f>
        <v>4545.24</v>
      </c>
      <c r="D11" s="19">
        <f>SUMIFS(Mapping!$H$4:$H$25,Mapping!$C$4:$C$25,"Balance Sheet",Mapping!$D$4:$D$25,"Debtors",Mapping!$E$4:$E$25,"Restricted")</f>
        <v>0</v>
      </c>
      <c r="E11" s="19">
        <f>SUM(C11:D11)</f>
        <v>4545.24</v>
      </c>
      <c r="F11" s="19">
        <v>0</v>
      </c>
    </row>
    <row r="12" spans="1:6">
      <c r="A12" t="s">
        <v>105</v>
      </c>
      <c r="B12" t="s">
        <v>140</v>
      </c>
      <c r="C12" s="19">
        <f>SUMIFS(Mapping!$H$4:$H$25,Mapping!$C$4:$C$25,"Balance Sheet",Mapping!$D$4:$D$25,"Cash at bank and in hand",Mapping!$E$4:$E$25,"Unrestricted")</f>
        <v>83849.56</v>
      </c>
      <c r="D12" s="19">
        <f>SUMIFS(Mapping!$H$4:$H$25,Mapping!$C$4:$C$25,"Balance Sheet",Mapping!$D$4:$D$25,"Cash at bank and in hand",Mapping!$E$4:$E$25,"Restricted")</f>
        <v>0</v>
      </c>
      <c r="E12" s="19">
        <f>SUM(C12:D12)</f>
        <v>83849.56</v>
      </c>
      <c r="F12" s="19">
        <v>0</v>
      </c>
    </row>
    <row r="13" spans="1:6">
      <c r="A13" s="17" t="s">
        <v>141</v>
      </c>
      <c r="B13" s="17"/>
      <c r="C13" s="20">
        <f>SUM(C11:C12)</f>
        <v>88394.8</v>
      </c>
      <c r="D13" s="20">
        <f>SUM(D11:D12)</f>
        <v>0</v>
      </c>
      <c r="E13" s="20">
        <f>SUM(E11:E12)</f>
        <v>88394.8</v>
      </c>
      <c r="F13" s="20">
        <f>SUM(F11:F12)</f>
        <v>0</v>
      </c>
    </row>
    <row r="14" spans="1:6">
      <c r="C14" s="19"/>
      <c r="D14" s="19"/>
      <c r="E14" s="19"/>
      <c r="F14" s="19"/>
    </row>
    <row r="15" spans="1:6">
      <c r="A15" t="s">
        <v>142</v>
      </c>
      <c r="B15" t="s">
        <v>143</v>
      </c>
      <c r="C15" s="19">
        <f>SUMIFS(Mapping!$H$4:$H$25,Mapping!$C$4:$C$25,"Balance Sheet",Mapping!$D$4:$D$25,"Creditors due within one year",Mapping!$E$4:$E$25,"Unrestricted")</f>
        <v>10828.58</v>
      </c>
      <c r="D15" s="19">
        <f>SUMIFS(Mapping!$H$4:$H$25,Mapping!$C$4:$C$25,"Balance Sheet",Mapping!$D$4:$D$25,"Creditors due within one year",Mapping!$E$4:$E$25,"Restricted")</f>
        <v>0</v>
      </c>
      <c r="E15" s="19">
        <f>SUM(C15:D15)</f>
        <v>10828.58</v>
      </c>
      <c r="F15" s="19">
        <v>0</v>
      </c>
    </row>
    <row r="16" spans="1:6">
      <c r="A16" s="17" t="s">
        <v>144</v>
      </c>
      <c r="B16" s="17"/>
      <c r="C16" s="20">
        <f>C13-C15</f>
        <v>77566.22</v>
      </c>
      <c r="D16" s="20">
        <f>D13-D15</f>
        <v>0</v>
      </c>
      <c r="E16" s="20">
        <f>E13-E15</f>
        <v>77566.22</v>
      </c>
      <c r="F16" s="20">
        <f>F13-F15</f>
        <v>0</v>
      </c>
    </row>
    <row r="17" spans="1:6">
      <c r="A17" s="17" t="s">
        <v>145</v>
      </c>
      <c r="B17" s="17"/>
      <c r="C17" s="20">
        <f>C8+C16</f>
        <v>77566.22</v>
      </c>
      <c r="D17" s="20">
        <f>D8+D16</f>
        <v>0</v>
      </c>
      <c r="E17" s="20">
        <f>E8+E16</f>
        <v>77566.22</v>
      </c>
      <c r="F17" s="20">
        <f>F8+F16</f>
        <v>0</v>
      </c>
    </row>
    <row r="18" spans="1:6">
      <c r="A18" t="s">
        <v>146</v>
      </c>
      <c r="B18" t="s">
        <v>143</v>
      </c>
      <c r="C18" s="19">
        <f>SUMIFS(Mapping!$H$4:$H$25,Mapping!$C$4:$C$25,"Balance Sheet",Mapping!$D$4:$D$25,"Creditors due after more than one year",Mapping!$E$4:$E$25,"Unrestricted")</f>
        <v>0</v>
      </c>
      <c r="D18" s="19">
        <f>SUMIFS(Mapping!$H$4:$H$25,Mapping!$C$4:$C$25,"Balance Sheet",Mapping!$D$4:$D$25,"Creditors due after more than one year",Mapping!$E$4:$E$25,"Restricted")</f>
        <v>0</v>
      </c>
      <c r="E18" s="19">
        <f>SUM(C18:D18)</f>
        <v>0</v>
      </c>
      <c r="F18" s="19">
        <v>0</v>
      </c>
    </row>
    <row r="19" spans="1:6">
      <c r="A19" s="17" t="s">
        <v>147</v>
      </c>
      <c r="B19" s="17"/>
      <c r="C19" s="20">
        <f>C17-C18</f>
        <v>77566.22</v>
      </c>
      <c r="D19" s="20">
        <f>D17-D18</f>
        <v>0</v>
      </c>
      <c r="E19" s="20">
        <f>E17-E18</f>
        <v>77566.22</v>
      </c>
      <c r="F19" s="20">
        <f>F17-F18</f>
        <v>0</v>
      </c>
    </row>
    <row r="20" spans="1:6">
      <c r="C20" s="19"/>
      <c r="D20" s="19"/>
      <c r="E20" s="19"/>
      <c r="F20" s="19"/>
    </row>
    <row r="21" spans="1:6">
      <c r="A21" s="1" t="s">
        <v>148</v>
      </c>
      <c r="B21" s="1"/>
      <c r="C21" s="21"/>
      <c r="D21" s="21"/>
      <c r="E21" s="21"/>
      <c r="F21" s="21"/>
    </row>
    <row r="22" spans="1:6">
      <c r="A22" t="s">
        <v>149</v>
      </c>
      <c r="B22" t="s">
        <v>150</v>
      </c>
      <c r="C22" s="19">
        <f>SOFA!C26</f>
        <v>77566.22</v>
      </c>
      <c r="D22" s="19">
        <f>0</f>
        <v>0</v>
      </c>
      <c r="E22" s="19">
        <f>SOFA!C26</f>
        <v>77566.22</v>
      </c>
      <c r="F22" s="19">
        <f>SOFA!F26</f>
        <v>0</v>
      </c>
    </row>
    <row r="23" spans="1:6">
      <c r="A23" t="s">
        <v>151</v>
      </c>
      <c r="B23" t="s">
        <v>150</v>
      </c>
      <c r="C23" s="19">
        <f>0</f>
        <v>0</v>
      </c>
      <c r="D23" s="19">
        <f>SOFA!D26</f>
        <v>0</v>
      </c>
      <c r="E23" s="19">
        <f>SOFA!D26</f>
        <v>0</v>
      </c>
      <c r="F23" s="19">
        <f>0</f>
        <v>0</v>
      </c>
    </row>
    <row r="24" spans="1:6">
      <c r="A24" s="17" t="s">
        <v>152</v>
      </c>
      <c r="B24" s="17"/>
      <c r="C24" s="20">
        <f>SUM(C22:C23)</f>
        <v>77566.22</v>
      </c>
      <c r="D24" s="20">
        <f>SUM(D22:D23)</f>
        <v>0</v>
      </c>
      <c r="E24" s="20">
        <f>SUM(E22:E23)</f>
        <v>77566.22</v>
      </c>
      <c r="F24" s="20">
        <f>SUM(F22:F23)</f>
        <v>0</v>
      </c>
    </row>
  </sheetData>
  <mergeCells count="3">
    <mergeCell ref="A1:F1"/>
    <mergeCell ref="A2:F2"/>
    <mergeCell ref="A3:F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sheetPr>
  <dimension ref="A1:H39"/>
  <sheetViews>
    <sheetView topLeftCell="A21" workbookViewId="0">
      <selection activeCell="C25" sqref="C25:F25"/>
    </sheetView>
  </sheetViews>
  <sheetFormatPr defaultRowHeight="14"/>
  <cols>
    <col min="1" max="1" width="34" customWidth="1"/>
    <col min="2" max="6" width="18" customWidth="1"/>
  </cols>
  <sheetData>
    <row r="1" spans="1:6" ht="18">
      <c r="A1" s="45" t="s">
        <v>153</v>
      </c>
      <c r="B1" s="45"/>
      <c r="C1" s="45"/>
      <c r="D1" s="45"/>
      <c r="E1" s="45"/>
      <c r="F1" s="45"/>
    </row>
    <row r="3" spans="1:6">
      <c r="A3" s="22" t="s">
        <v>154</v>
      </c>
      <c r="B3" s="48"/>
      <c r="C3" s="48"/>
      <c r="D3" s="48"/>
      <c r="E3" s="48"/>
      <c r="F3" s="48"/>
    </row>
    <row r="4" spans="1:6" ht="57" customHeight="1">
      <c r="A4" s="2"/>
      <c r="B4" s="52" t="s">
        <v>155</v>
      </c>
      <c r="C4" s="52"/>
      <c r="D4" s="52"/>
      <c r="E4" s="52"/>
      <c r="F4" s="52"/>
    </row>
    <row r="5" spans="1:6" ht="33.65" customHeight="1">
      <c r="A5" s="2"/>
      <c r="B5" s="52" t="s">
        <v>156</v>
      </c>
      <c r="C5" s="52"/>
      <c r="D5" s="52"/>
      <c r="E5" s="52"/>
      <c r="F5" s="52"/>
    </row>
    <row r="6" spans="1:6">
      <c r="A6" s="22" t="s">
        <v>157</v>
      </c>
      <c r="B6" s="48"/>
      <c r="C6" s="48"/>
      <c r="D6" s="48"/>
      <c r="E6" s="48"/>
      <c r="F6" s="48"/>
    </row>
    <row r="7" spans="1:6" ht="48" customHeight="1">
      <c r="A7" s="27" t="s">
        <v>158</v>
      </c>
      <c r="B7" s="52" t="s">
        <v>159</v>
      </c>
      <c r="C7" s="52"/>
      <c r="D7" s="52"/>
      <c r="E7" s="52"/>
      <c r="F7" s="52"/>
    </row>
    <row r="8" spans="1:6" ht="36.65" customHeight="1">
      <c r="A8" s="27" t="s">
        <v>160</v>
      </c>
      <c r="B8" s="52" t="s">
        <v>161</v>
      </c>
      <c r="C8" s="52"/>
      <c r="D8" s="52"/>
      <c r="E8" s="52"/>
      <c r="F8" s="52"/>
    </row>
    <row r="9" spans="1:6" ht="40.75" customHeight="1">
      <c r="A9" s="27" t="s">
        <v>162</v>
      </c>
      <c r="B9" s="52" t="s">
        <v>163</v>
      </c>
      <c r="C9" s="52"/>
      <c r="D9" s="52"/>
      <c r="E9" s="52"/>
      <c r="F9" s="52"/>
    </row>
    <row r="10" spans="1:6" ht="42.65" customHeight="1">
      <c r="A10" s="27" t="s">
        <v>164</v>
      </c>
      <c r="B10" s="52" t="s">
        <v>224</v>
      </c>
      <c r="C10" s="52"/>
      <c r="D10" s="52"/>
      <c r="E10" s="52"/>
      <c r="F10" s="52"/>
    </row>
    <row r="11" spans="1:6" ht="30" customHeight="1">
      <c r="A11" s="27" t="s">
        <v>75</v>
      </c>
      <c r="B11" s="52" t="s">
        <v>225</v>
      </c>
      <c r="C11" s="52"/>
      <c r="D11" s="52"/>
      <c r="E11" s="52"/>
      <c r="F11" s="52"/>
    </row>
    <row r="12" spans="1:6">
      <c r="A12" s="22" t="s">
        <v>165</v>
      </c>
      <c r="B12" s="48"/>
      <c r="C12" s="48"/>
      <c r="D12" s="48"/>
      <c r="E12" s="48"/>
      <c r="F12" s="48"/>
    </row>
    <row r="13" spans="1:6">
      <c r="A13" s="2" t="s">
        <v>87</v>
      </c>
      <c r="B13" s="31">
        <f>SOFA!E7</f>
        <v>104333.71</v>
      </c>
      <c r="C13" s="32"/>
      <c r="D13" s="32"/>
      <c r="E13" s="32"/>
      <c r="F13" s="32"/>
    </row>
    <row r="14" spans="1:6">
      <c r="A14" s="2" t="s">
        <v>92</v>
      </c>
      <c r="B14" s="31">
        <f>SOFA!E9</f>
        <v>63000</v>
      </c>
      <c r="C14" s="32"/>
      <c r="D14" s="32"/>
      <c r="E14" s="32"/>
      <c r="F14" s="32"/>
    </row>
    <row r="15" spans="1:6">
      <c r="A15" s="2" t="s">
        <v>95</v>
      </c>
      <c r="B15" s="31">
        <f>SOFA!E10</f>
        <v>76.36</v>
      </c>
      <c r="C15" s="32"/>
      <c r="D15" s="32"/>
      <c r="E15" s="32"/>
      <c r="F15" s="32"/>
    </row>
    <row r="16" spans="1:6">
      <c r="A16" s="28" t="s">
        <v>121</v>
      </c>
      <c r="B16" s="33">
        <f>SOFA!E12</f>
        <v>167410.07</v>
      </c>
      <c r="C16" s="32"/>
      <c r="D16" s="32"/>
      <c r="E16" s="32"/>
      <c r="F16" s="32"/>
    </row>
    <row r="17" spans="1:8">
      <c r="A17" s="22" t="s">
        <v>166</v>
      </c>
      <c r="B17" s="51"/>
      <c r="C17" s="51"/>
      <c r="D17" s="51"/>
      <c r="E17" s="51"/>
      <c r="F17" s="51"/>
      <c r="H17" s="37"/>
    </row>
    <row r="18" spans="1:8">
      <c r="A18" s="2" t="s">
        <v>101</v>
      </c>
      <c r="B18" s="31">
        <f>SOFA!E15</f>
        <v>60560.59</v>
      </c>
      <c r="C18" s="32"/>
      <c r="D18" s="32"/>
      <c r="E18" s="32"/>
      <c r="F18" s="32"/>
    </row>
    <row r="19" spans="1:8">
      <c r="A19" s="2" t="s">
        <v>96</v>
      </c>
      <c r="B19" s="31">
        <f>SOFA!E16</f>
        <v>29283.260000000006</v>
      </c>
      <c r="C19" s="32"/>
      <c r="D19" s="32"/>
      <c r="E19" s="32"/>
      <c r="F19" s="32"/>
    </row>
    <row r="20" spans="1:8">
      <c r="A20" s="28" t="s">
        <v>125</v>
      </c>
      <c r="B20" s="33">
        <f>SOFA!E18</f>
        <v>89843.85</v>
      </c>
      <c r="C20" s="32"/>
      <c r="D20" s="32"/>
      <c r="E20" s="32"/>
      <c r="F20" s="32"/>
    </row>
    <row r="21" spans="1:8">
      <c r="A21" s="22" t="s">
        <v>167</v>
      </c>
      <c r="B21" s="34"/>
      <c r="C21" s="34"/>
      <c r="D21" s="34"/>
      <c r="E21" s="34"/>
      <c r="F21" s="34"/>
    </row>
    <row r="22" spans="1:8">
      <c r="A22" s="2" t="s">
        <v>168</v>
      </c>
      <c r="B22" s="31">
        <f>SUMIFS(Mapping!$H$4:$H$25,Mapping!$F$4:$F$25,"Staff costs")</f>
        <v>19080.95</v>
      </c>
      <c r="C22" s="32"/>
      <c r="D22" s="32"/>
      <c r="E22" s="32"/>
      <c r="F22" s="32"/>
    </row>
    <row r="23" spans="1:8">
      <c r="A23" s="2" t="s">
        <v>169</v>
      </c>
      <c r="B23" s="30">
        <v>1</v>
      </c>
      <c r="C23" s="29"/>
      <c r="D23" s="29"/>
      <c r="E23" s="29"/>
      <c r="F23" s="29"/>
    </row>
    <row r="24" spans="1:8">
      <c r="A24" s="2" t="s">
        <v>170</v>
      </c>
      <c r="B24" s="52" t="s">
        <v>223</v>
      </c>
      <c r="C24" s="52"/>
      <c r="D24" s="52"/>
      <c r="E24" s="52"/>
      <c r="F24" s="52"/>
    </row>
    <row r="25" spans="1:8" ht="47.4" customHeight="1">
      <c r="A25" s="27" t="s">
        <v>171</v>
      </c>
      <c r="B25" s="35">
        <v>15936.73</v>
      </c>
      <c r="C25" s="49" t="s">
        <v>233</v>
      </c>
      <c r="D25" s="49"/>
      <c r="E25" s="49"/>
      <c r="F25" s="49"/>
    </row>
    <row r="26" spans="1:8">
      <c r="A26" s="22" t="s">
        <v>172</v>
      </c>
      <c r="B26" s="50" t="s">
        <v>173</v>
      </c>
      <c r="C26" s="50"/>
      <c r="D26" s="50"/>
      <c r="E26" s="50"/>
      <c r="F26" s="50"/>
    </row>
    <row r="27" spans="1:8">
      <c r="A27" s="22" t="s">
        <v>174</v>
      </c>
      <c r="B27" s="48"/>
      <c r="C27" s="48"/>
      <c r="D27" s="48"/>
      <c r="E27" s="48"/>
      <c r="F27" s="48"/>
    </row>
    <row r="28" spans="1:8" ht="43.75" customHeight="1">
      <c r="A28" s="27" t="s">
        <v>110</v>
      </c>
      <c r="B28" s="35">
        <f>SUMIFS(Mapping!$H$4:$H$25,Mapping!$F$4:$F$25,"VAT recoverable")</f>
        <v>4545.24</v>
      </c>
      <c r="C28" s="49" t="s">
        <v>226</v>
      </c>
      <c r="D28" s="49"/>
      <c r="E28" s="49"/>
      <c r="F28" s="49"/>
    </row>
    <row r="29" spans="1:8">
      <c r="A29" s="22" t="s">
        <v>175</v>
      </c>
      <c r="B29" s="48"/>
      <c r="C29" s="48"/>
      <c r="D29" s="48"/>
      <c r="E29" s="48"/>
      <c r="F29" s="48"/>
    </row>
    <row r="30" spans="1:8">
      <c r="A30" s="2" t="s">
        <v>227</v>
      </c>
      <c r="B30" s="31">
        <f>'Balance Sheet'!E12</f>
        <v>83849.56</v>
      </c>
      <c r="C30" s="3"/>
      <c r="D30" s="3"/>
      <c r="E30" s="3"/>
      <c r="F30" s="3"/>
    </row>
    <row r="31" spans="1:8">
      <c r="A31" s="22" t="s">
        <v>176</v>
      </c>
      <c r="B31" s="48"/>
      <c r="C31" s="48"/>
      <c r="D31" s="48"/>
      <c r="E31" s="48"/>
      <c r="F31" s="48"/>
    </row>
    <row r="32" spans="1:8">
      <c r="A32" s="2" t="s">
        <v>108</v>
      </c>
      <c r="B32" s="31">
        <f>SUMIFS(Mapping!$H$4:$H$25,Mapping!$F$4:$F$25,"Trade creditors")-B33</f>
        <v>3814.28</v>
      </c>
      <c r="C32" s="3"/>
      <c r="D32" s="3"/>
      <c r="E32" s="3"/>
      <c r="F32" s="3"/>
    </row>
    <row r="33" spans="1:6">
      <c r="A33" s="2" t="s">
        <v>228</v>
      </c>
      <c r="B33" s="31">
        <v>3507.15</v>
      </c>
      <c r="C33" s="3"/>
      <c r="D33" s="3"/>
      <c r="E33" s="3"/>
      <c r="F33" s="3"/>
    </row>
    <row r="34" spans="1:6">
      <c r="A34" s="28" t="s">
        <v>177</v>
      </c>
      <c r="B34" s="33">
        <f>'Balance Sheet'!E15</f>
        <v>10828.58</v>
      </c>
      <c r="C34" s="3"/>
      <c r="D34" s="3"/>
      <c r="E34" s="3"/>
      <c r="F34" s="3"/>
    </row>
    <row r="35" spans="1:6" ht="31.25" customHeight="1">
      <c r="A35" s="22" t="s">
        <v>178</v>
      </c>
      <c r="B35" s="48"/>
      <c r="C35" s="48"/>
      <c r="D35" s="48"/>
      <c r="E35" s="48"/>
      <c r="F35" s="48"/>
    </row>
    <row r="36" spans="1:6">
      <c r="A36" s="2" t="s">
        <v>179</v>
      </c>
      <c r="B36" s="31">
        <f>SOFA!C26</f>
        <v>77566.22</v>
      </c>
      <c r="C36" s="3"/>
      <c r="D36" s="3"/>
      <c r="E36" s="3"/>
      <c r="F36" s="3"/>
    </row>
    <row r="37" spans="1:6">
      <c r="A37" s="2" t="s">
        <v>180</v>
      </c>
      <c r="B37" s="23">
        <f>SOFA!D26</f>
        <v>0</v>
      </c>
      <c r="C37" s="3"/>
      <c r="D37" s="3"/>
      <c r="E37" s="3"/>
      <c r="F37" s="3"/>
    </row>
    <row r="38" spans="1:6" ht="31.25" customHeight="1">
      <c r="A38" s="22" t="s">
        <v>181</v>
      </c>
      <c r="B38" s="48"/>
      <c r="C38" s="48"/>
      <c r="D38" s="48"/>
      <c r="E38" s="48"/>
      <c r="F38" s="48"/>
    </row>
    <row r="39" spans="1:6" ht="31.25" customHeight="1">
      <c r="A39" s="22" t="s">
        <v>182</v>
      </c>
      <c r="B39" s="48"/>
      <c r="C39" s="48"/>
      <c r="D39" s="48"/>
      <c r="E39" s="48"/>
      <c r="F39" s="48"/>
    </row>
  </sheetData>
  <mergeCells count="22">
    <mergeCell ref="A1:F1"/>
    <mergeCell ref="B3:F3"/>
    <mergeCell ref="B4:F4"/>
    <mergeCell ref="B5:F5"/>
    <mergeCell ref="B6:F6"/>
    <mergeCell ref="B12:F12"/>
    <mergeCell ref="B17:F17"/>
    <mergeCell ref="B24:F24"/>
    <mergeCell ref="B7:F7"/>
    <mergeCell ref="B8:F8"/>
    <mergeCell ref="B9:F9"/>
    <mergeCell ref="B10:F10"/>
    <mergeCell ref="B11:F11"/>
    <mergeCell ref="B38:F38"/>
    <mergeCell ref="B39:F39"/>
    <mergeCell ref="C25:F25"/>
    <mergeCell ref="C28:F28"/>
    <mergeCell ref="B26:F26"/>
    <mergeCell ref="B27:F27"/>
    <mergeCell ref="B31:F31"/>
    <mergeCell ref="B35:F35"/>
    <mergeCell ref="B29:F29"/>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sheetPr>
  <dimension ref="A1:G7"/>
  <sheetViews>
    <sheetView workbookViewId="0">
      <selection activeCell="E13" sqref="E13"/>
    </sheetView>
  </sheetViews>
  <sheetFormatPr defaultRowHeight="14"/>
  <cols>
    <col min="1" max="1" width="26" customWidth="1"/>
    <col min="2" max="2" width="18" customWidth="1"/>
    <col min="3" max="3" width="20" customWidth="1"/>
    <col min="4" max="6" width="18" customWidth="1"/>
    <col min="7" max="7" width="20" customWidth="1"/>
  </cols>
  <sheetData>
    <row r="1" spans="1:7" ht="18">
      <c r="A1" s="45" t="s">
        <v>183</v>
      </c>
      <c r="B1" s="45"/>
      <c r="C1" s="45"/>
      <c r="D1" s="45"/>
      <c r="E1" s="45"/>
      <c r="F1" s="45"/>
      <c r="G1" s="45"/>
    </row>
    <row r="3" spans="1:7">
      <c r="A3" s="24" t="s">
        <v>80</v>
      </c>
      <c r="B3" s="24" t="s">
        <v>184</v>
      </c>
      <c r="C3" s="24" t="s">
        <v>185</v>
      </c>
      <c r="D3" s="24" t="s">
        <v>186</v>
      </c>
      <c r="E3" s="24" t="s">
        <v>187</v>
      </c>
      <c r="F3" s="24" t="s">
        <v>188</v>
      </c>
      <c r="G3" s="24" t="s">
        <v>189</v>
      </c>
    </row>
    <row r="4" spans="1:7">
      <c r="A4" t="s">
        <v>190</v>
      </c>
      <c r="B4" t="s">
        <v>88</v>
      </c>
      <c r="C4" s="37">
        <v>0</v>
      </c>
      <c r="D4" s="19">
        <f>SOFA!C12</f>
        <v>167410.07</v>
      </c>
      <c r="E4" s="19">
        <f>SOFA!C18</f>
        <v>89843.85</v>
      </c>
      <c r="F4" s="19">
        <f>SOFA!C21</f>
        <v>0</v>
      </c>
      <c r="G4" s="19">
        <f>C4+D4-E4+F4</f>
        <v>77566.22</v>
      </c>
    </row>
    <row r="5" spans="1:7">
      <c r="A5" t="s">
        <v>191</v>
      </c>
      <c r="B5" t="s">
        <v>192</v>
      </c>
      <c r="C5" s="37">
        <v>0</v>
      </c>
      <c r="D5" s="19">
        <f>SOFA!D12</f>
        <v>0</v>
      </c>
      <c r="E5" s="19">
        <f>SOFA!D18</f>
        <v>0</v>
      </c>
      <c r="F5" s="19">
        <f>SOFA!D21</f>
        <v>0</v>
      </c>
      <c r="G5" s="19">
        <f>C5+D5-E5+F5</f>
        <v>0</v>
      </c>
    </row>
    <row r="6" spans="1:7">
      <c r="C6" s="37"/>
      <c r="D6" s="37"/>
      <c r="E6" s="37"/>
      <c r="F6" s="37"/>
      <c r="G6" s="37"/>
    </row>
    <row r="7" spans="1:7">
      <c r="A7" s="9" t="s">
        <v>193</v>
      </c>
      <c r="B7" s="9"/>
      <c r="C7" s="38">
        <f>SUM(C4:C5)</f>
        <v>0</v>
      </c>
      <c r="D7" s="38">
        <f>SUM(D4:D5)</f>
        <v>167410.07</v>
      </c>
      <c r="E7" s="38">
        <f>SUM(E4:E5)</f>
        <v>89843.85</v>
      </c>
      <c r="F7" s="38">
        <f>SUM(F4:F5)</f>
        <v>0</v>
      </c>
      <c r="G7" s="38">
        <f>SUM(G4:G5)</f>
        <v>77566.22</v>
      </c>
    </row>
  </sheetData>
  <mergeCells count="1">
    <mergeCell ref="A1:G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92D050"/>
  </sheetPr>
  <dimension ref="A1:F60"/>
  <sheetViews>
    <sheetView tabSelected="1" topLeftCell="A39" workbookViewId="0">
      <selection activeCell="F61" sqref="F61"/>
    </sheetView>
  </sheetViews>
  <sheetFormatPr defaultRowHeight="14"/>
  <cols>
    <col min="1" max="1" width="46" customWidth="1"/>
    <col min="2" max="2" width="10" customWidth="1"/>
    <col min="3" max="4" width="20" customWidth="1"/>
    <col min="5" max="6" width="18" customWidth="1"/>
  </cols>
  <sheetData>
    <row r="1" spans="1:6" ht="18">
      <c r="A1" s="42" t="s">
        <v>111</v>
      </c>
      <c r="B1" s="42"/>
      <c r="C1" s="42"/>
      <c r="D1" s="42"/>
      <c r="E1" s="42"/>
      <c r="F1" s="42"/>
    </row>
    <row r="2" spans="1:6" ht="18">
      <c r="A2" s="42" t="s">
        <v>213</v>
      </c>
      <c r="B2" s="42"/>
      <c r="C2" s="42"/>
      <c r="D2" s="42"/>
      <c r="E2" s="42"/>
      <c r="F2" s="42"/>
    </row>
    <row r="3" spans="1:6" ht="18">
      <c r="A3" s="42" t="s">
        <v>214</v>
      </c>
      <c r="B3" s="42"/>
      <c r="C3" s="42"/>
      <c r="D3" s="42"/>
      <c r="E3" s="42"/>
      <c r="F3" s="42"/>
    </row>
    <row r="4" spans="1:6">
      <c r="A4" s="2" t="s">
        <v>215</v>
      </c>
      <c r="B4" s="43" t="s">
        <v>222</v>
      </c>
      <c r="C4" s="43"/>
      <c r="D4" s="2"/>
      <c r="E4" s="2"/>
      <c r="F4" s="2"/>
    </row>
    <row r="5" spans="1:6">
      <c r="A5" s="2"/>
      <c r="B5" s="2"/>
      <c r="C5" s="2"/>
      <c r="D5" s="2"/>
      <c r="E5" s="2"/>
      <c r="F5" s="2"/>
    </row>
    <row r="6" spans="1:6">
      <c r="A6" s="39" t="s">
        <v>112</v>
      </c>
      <c r="B6" s="39"/>
      <c r="C6" s="39"/>
      <c r="D6" s="39"/>
      <c r="E6" s="39"/>
      <c r="F6" s="39"/>
    </row>
    <row r="7" spans="1:6">
      <c r="A7" s="2"/>
      <c r="B7" s="2" t="s">
        <v>114</v>
      </c>
      <c r="C7" s="2" t="s">
        <v>115</v>
      </c>
      <c r="D7" s="2" t="s">
        <v>116</v>
      </c>
      <c r="E7" s="2" t="s">
        <v>221</v>
      </c>
      <c r="F7" s="2" t="s">
        <v>117</v>
      </c>
    </row>
    <row r="8" spans="1:6">
      <c r="A8" s="2" t="s">
        <v>118</v>
      </c>
      <c r="B8" s="2"/>
      <c r="C8" s="2"/>
      <c r="D8" s="2"/>
      <c r="E8" s="2"/>
      <c r="F8" s="2"/>
    </row>
    <row r="9" spans="1:6">
      <c r="A9" s="2" t="s">
        <v>87</v>
      </c>
      <c r="B9" s="2" t="s">
        <v>119</v>
      </c>
      <c r="C9" s="36">
        <f>SUMIFS(Mapping!$H$4:$H$25,Mapping!$C$4:$C$25,"SOFA",Mapping!$D$4:$D$25,$A9,Mapping!$E$4:$E$25,"Unrestricted",Mapping!$G$4:$G$25,"Credit positive")</f>
        <v>104333.71</v>
      </c>
      <c r="D9" s="36">
        <f>SUMIFS(Mapping!$H$4:$H$25,Mapping!$C$4:$C$25,"SOFA",Mapping!$D$4:$D$25,$A9,Mapping!$E$4:$E$25,"Restricted",Mapping!$G$4:$G$25,"Credit positive")</f>
        <v>0</v>
      </c>
      <c r="E9" s="36">
        <f>SUM(C9:D9)</f>
        <v>104333.71</v>
      </c>
      <c r="F9" s="36">
        <v>0</v>
      </c>
    </row>
    <row r="10" spans="1:6">
      <c r="A10" s="2" t="s">
        <v>96</v>
      </c>
      <c r="B10" s="2" t="s">
        <v>119</v>
      </c>
      <c r="C10" s="36">
        <f>SUMIFS(Mapping!$H$4:$H$25,Mapping!$C$4:$C$25,"SOFA",Mapping!$D$4:$D$25,$A10,Mapping!$E$4:$E$25,"Unrestricted",Mapping!$G$4:$G$25,"Credit positive")</f>
        <v>0</v>
      </c>
      <c r="D10" s="36">
        <f>SUMIFS(Mapping!$H$4:$H$25,Mapping!$C$4:$C$25,"SOFA",Mapping!$D$4:$D$25,$A10,Mapping!$E$4:$E$25,"Restricted",Mapping!$G$4:$G$25,"Credit positive")</f>
        <v>0</v>
      </c>
      <c r="E10" s="36">
        <f>SUM(C10:D10)</f>
        <v>0</v>
      </c>
      <c r="F10" s="36">
        <v>0</v>
      </c>
    </row>
    <row r="11" spans="1:6">
      <c r="A11" s="2" t="s">
        <v>92</v>
      </c>
      <c r="B11" s="2" t="s">
        <v>119</v>
      </c>
      <c r="C11" s="36">
        <f>SUMIFS(Mapping!$H$4:$H$25,Mapping!$C$4:$C$25,"SOFA",Mapping!$D$4:$D$25,$A11,Mapping!$E$4:$E$25,"Unrestricted",Mapping!$G$4:$G$25,"Credit positive")</f>
        <v>63000</v>
      </c>
      <c r="D11" s="36">
        <f>SUMIFS(Mapping!$H$4:$H$25,Mapping!$C$4:$C$25,"SOFA",Mapping!$D$4:$D$25,$A11,Mapping!$E$4:$E$25,"Restricted",Mapping!$G$4:$G$25,"Credit positive")</f>
        <v>0</v>
      </c>
      <c r="E11" s="36">
        <f>SUM(C11:D11)</f>
        <v>63000</v>
      </c>
      <c r="F11" s="36">
        <v>0</v>
      </c>
    </row>
    <row r="12" spans="1:6">
      <c r="A12" s="2" t="s">
        <v>94</v>
      </c>
      <c r="B12" s="2" t="s">
        <v>119</v>
      </c>
      <c r="C12" s="36">
        <f>SUMIFS(Mapping!$H$4:$H$25,Mapping!$C$4:$C$25,"SOFA",Mapping!$D$4:$D$25,$A12,Mapping!$E$4:$E$25,"Unrestricted",Mapping!$G$4:$G$25,"Credit positive")</f>
        <v>76.36</v>
      </c>
      <c r="D12" s="36">
        <f>SUMIFS(Mapping!$H$4:$H$25,Mapping!$C$4:$C$25,"SOFA",Mapping!$D$4:$D$25,$A12,Mapping!$E$4:$E$25,"Restricted",Mapping!$G$4:$G$25,"Credit positive")</f>
        <v>0</v>
      </c>
      <c r="E12" s="36">
        <f>SUM(C12:D12)</f>
        <v>76.36</v>
      </c>
      <c r="F12" s="36">
        <v>0</v>
      </c>
    </row>
    <row r="13" spans="1:6">
      <c r="A13" s="2" t="s">
        <v>120</v>
      </c>
      <c r="B13" s="2" t="s">
        <v>119</v>
      </c>
      <c r="C13" s="36">
        <f>SUMIFS(Mapping!$H$4:$H$25,Mapping!$C$4:$C$25,"SOFA",Mapping!$D$4:$D$25,$A13,Mapping!$E$4:$E$25,"Unrestricted",Mapping!$G$4:$G$25,"Credit positive")</f>
        <v>0</v>
      </c>
      <c r="D13" s="36">
        <f>SUMIFS(Mapping!$H$4:$H$25,Mapping!$C$4:$C$25,"SOFA",Mapping!$D$4:$D$25,$A13,Mapping!$E$4:$E$25,"Restricted",Mapping!$G$4:$G$25,"Credit positive")</f>
        <v>0</v>
      </c>
      <c r="E13" s="36">
        <f>SUM(C13:D13)</f>
        <v>0</v>
      </c>
      <c r="F13" s="36">
        <v>0</v>
      </c>
    </row>
    <row r="14" spans="1:6">
      <c r="A14" s="2" t="s">
        <v>121</v>
      </c>
      <c r="B14" s="2"/>
      <c r="C14" s="36">
        <f>SUM(C9:C13)</f>
        <v>167410.07</v>
      </c>
      <c r="D14" s="36">
        <f>SUM(D9:D13)</f>
        <v>0</v>
      </c>
      <c r="E14" s="36">
        <f>SUM(E9:E13)</f>
        <v>167410.07</v>
      </c>
      <c r="F14" s="36">
        <v>0</v>
      </c>
    </row>
    <row r="15" spans="1:6">
      <c r="A15" s="2"/>
      <c r="B15" s="2"/>
      <c r="C15" s="36"/>
      <c r="D15" s="36"/>
      <c r="E15" s="36"/>
      <c r="F15" s="36"/>
    </row>
    <row r="16" spans="1:6">
      <c r="A16" s="2" t="s">
        <v>122</v>
      </c>
      <c r="B16" s="2"/>
      <c r="C16" s="36"/>
      <c r="D16" s="36"/>
      <c r="E16" s="36"/>
      <c r="F16" s="36"/>
    </row>
    <row r="17" spans="1:6">
      <c r="A17" s="2" t="s">
        <v>101</v>
      </c>
      <c r="B17" s="2" t="s">
        <v>123</v>
      </c>
      <c r="C17" s="36">
        <f>SUMIFS(Mapping!$H$4:$H$25,Mapping!$C$4:$C$25,"SOFA",Mapping!$D$4:$D$25,$A17,Mapping!$E$4:$E$25,"Unrestricted",Mapping!$G$4:$G$25,"Debit positive")</f>
        <v>60560.59</v>
      </c>
      <c r="D17" s="36">
        <f>SUMIFS(Mapping!$H$4:$H$25,Mapping!$C$4:$C$25,"SOFA",Mapping!$D$4:$D$25,$A17,Mapping!$E$4:$E$25,"Restricted",Mapping!$G$4:$G$25,"Debit positive")</f>
        <v>0</v>
      </c>
      <c r="E17" s="36">
        <f>SUM(C17:D17)</f>
        <v>60560.59</v>
      </c>
      <c r="F17" s="36">
        <v>0</v>
      </c>
    </row>
    <row r="18" spans="1:6">
      <c r="A18" s="2" t="s">
        <v>96</v>
      </c>
      <c r="B18" s="2" t="s">
        <v>123</v>
      </c>
      <c r="C18" s="36">
        <f>SUMIFS(Mapping!$H$4:$H$25,Mapping!$C$4:$C$25,"SOFA",Mapping!$D$4:$D$25,$A18,Mapping!$E$4:$E$25,"Unrestricted",Mapping!$G$4:$G$25,"Debit positive")</f>
        <v>29283.260000000006</v>
      </c>
      <c r="D18" s="36">
        <f>SUMIFS(Mapping!$H$4:$H$25,Mapping!$C$4:$C$25,"SOFA",Mapping!$D$4:$D$25,$A18,Mapping!$E$4:$E$25,"Restricted",Mapping!$G$4:$G$25,"Debit positive")</f>
        <v>0</v>
      </c>
      <c r="E18" s="36">
        <f>SUM(C18:D18)</f>
        <v>29283.260000000006</v>
      </c>
      <c r="F18" s="36">
        <v>0</v>
      </c>
    </row>
    <row r="19" spans="1:6">
      <c r="A19" s="2" t="s">
        <v>124</v>
      </c>
      <c r="B19" s="2" t="s">
        <v>123</v>
      </c>
      <c r="C19" s="36">
        <f>SUMIFS(Mapping!$H$4:$H$25,Mapping!$C$4:$C$25,"SOFA",Mapping!$D$4:$D$25,$A19,Mapping!$E$4:$E$25,"Unrestricted",Mapping!$G$4:$G$25,"Debit positive")</f>
        <v>0</v>
      </c>
      <c r="D19" s="36">
        <f>SUMIFS(Mapping!$H$4:$H$25,Mapping!$C$4:$C$25,"SOFA",Mapping!$D$4:$D$25,$A19,Mapping!$E$4:$E$25,"Restricted",Mapping!$G$4:$G$25,"Debit positive")</f>
        <v>0</v>
      </c>
      <c r="E19" s="36">
        <f>SUM(C19:D19)</f>
        <v>0</v>
      </c>
      <c r="F19" s="36">
        <v>0</v>
      </c>
    </row>
    <row r="20" spans="1:6">
      <c r="A20" s="2" t="s">
        <v>125</v>
      </c>
      <c r="B20" s="2"/>
      <c r="C20" s="36">
        <f>SUM(C17:C19)</f>
        <v>89843.85</v>
      </c>
      <c r="D20" s="36">
        <f>SUM(D17:D19)</f>
        <v>0</v>
      </c>
      <c r="E20" s="36">
        <f>SUM(E17:E19)</f>
        <v>89843.85</v>
      </c>
      <c r="F20" s="36">
        <v>0</v>
      </c>
    </row>
    <row r="21" spans="1:6">
      <c r="A21" s="2"/>
      <c r="B21" s="2"/>
      <c r="C21" s="36"/>
      <c r="D21" s="36"/>
      <c r="E21" s="36"/>
      <c r="F21" s="36"/>
    </row>
    <row r="22" spans="1:6">
      <c r="A22" s="2" t="s">
        <v>126</v>
      </c>
      <c r="B22" s="2"/>
      <c r="C22" s="36">
        <f>C14-C20</f>
        <v>77566.22</v>
      </c>
      <c r="D22" s="36">
        <f>D14-D20</f>
        <v>0</v>
      </c>
      <c r="E22" s="36">
        <f>E14-E20</f>
        <v>77566.22</v>
      </c>
      <c r="F22" s="36">
        <f>F14-F20</f>
        <v>0</v>
      </c>
    </row>
    <row r="23" spans="1:6">
      <c r="A23" s="2" t="s">
        <v>127</v>
      </c>
      <c r="B23" s="2"/>
      <c r="C23" s="36">
        <v>0</v>
      </c>
      <c r="D23" s="36">
        <v>0</v>
      </c>
      <c r="E23" s="36">
        <v>0</v>
      </c>
      <c r="F23" s="36">
        <v>0</v>
      </c>
    </row>
    <row r="24" spans="1:6">
      <c r="A24" s="2" t="s">
        <v>128</v>
      </c>
      <c r="B24" s="2"/>
      <c r="C24" s="36">
        <f>C22+C23</f>
        <v>77566.22</v>
      </c>
      <c r="D24" s="36">
        <f>D22+D23</f>
        <v>0</v>
      </c>
      <c r="E24" s="36">
        <f>E22+E23</f>
        <v>77566.22</v>
      </c>
      <c r="F24" s="36">
        <f>F22+F23</f>
        <v>0</v>
      </c>
    </row>
    <row r="25" spans="1:6">
      <c r="A25" s="2"/>
      <c r="B25" s="2"/>
      <c r="C25" s="36"/>
      <c r="D25" s="36"/>
      <c r="E25" s="36"/>
      <c r="F25" s="36"/>
    </row>
    <row r="26" spans="1:6">
      <c r="A26" s="2" t="s">
        <v>129</v>
      </c>
      <c r="B26" s="2"/>
      <c r="C26" s="36"/>
      <c r="D26" s="36"/>
      <c r="E26" s="36"/>
      <c r="F26" s="36"/>
    </row>
    <row r="27" spans="1:6">
      <c r="A27" s="2" t="s">
        <v>130</v>
      </c>
      <c r="B27" s="2"/>
      <c r="C27" s="36">
        <v>0</v>
      </c>
      <c r="D27" s="36">
        <v>0</v>
      </c>
      <c r="E27" s="36">
        <v>0</v>
      </c>
      <c r="F27" s="36">
        <v>0</v>
      </c>
    </row>
    <row r="28" spans="1:6">
      <c r="A28" s="2" t="s">
        <v>131</v>
      </c>
      <c r="B28" s="2"/>
      <c r="C28" s="36">
        <f>C27+C24</f>
        <v>77566.22</v>
      </c>
      <c r="D28" s="36">
        <f>D27+D24</f>
        <v>0</v>
      </c>
      <c r="E28" s="36">
        <f>E27+E24</f>
        <v>77566.22</v>
      </c>
      <c r="F28" s="36">
        <f>F27+F24</f>
        <v>0</v>
      </c>
    </row>
    <row r="29" spans="1:6">
      <c r="A29" s="2"/>
      <c r="B29" s="2"/>
      <c r="C29" s="2"/>
      <c r="D29" s="2"/>
      <c r="E29" s="2"/>
      <c r="F29" s="2"/>
    </row>
    <row r="30" spans="1:6">
      <c r="A30" s="39" t="s">
        <v>216</v>
      </c>
      <c r="B30" s="39"/>
      <c r="C30" s="39"/>
      <c r="D30" s="39"/>
      <c r="E30" s="39"/>
      <c r="F30" s="39"/>
    </row>
    <row r="31" spans="1:6">
      <c r="A31" s="2"/>
      <c r="B31" s="2" t="s">
        <v>114</v>
      </c>
      <c r="C31" s="2" t="s">
        <v>115</v>
      </c>
      <c r="D31" s="2" t="s">
        <v>116</v>
      </c>
      <c r="E31" s="2" t="s">
        <v>221</v>
      </c>
      <c r="F31" s="2" t="s">
        <v>117</v>
      </c>
    </row>
    <row r="32" spans="1:6">
      <c r="A32" s="2" t="s">
        <v>134</v>
      </c>
      <c r="B32" s="2"/>
      <c r="C32" s="2"/>
      <c r="D32" s="2"/>
      <c r="E32" s="2"/>
      <c r="F32" s="2"/>
    </row>
    <row r="33" spans="1:6">
      <c r="A33" s="2" t="s">
        <v>135</v>
      </c>
      <c r="B33" s="2" t="s">
        <v>136</v>
      </c>
      <c r="C33" s="36">
        <f>SUMIFS(Mapping!$H$4:$H$25,Mapping!$C$4:$C$25,"Balance Sheet",Mapping!$D$4:$D$25,"Tangible fixed assets",Mapping!$E$4:$E$25,"Unrestricted")</f>
        <v>0</v>
      </c>
      <c r="D33" s="36">
        <f>SUMIFS(Mapping!$H$4:$H$25,Mapping!$C$4:$C$25,"Balance Sheet",Mapping!$D$4:$D$25,"Tangible fixed assets",Mapping!$E$4:$E$25,"Restricted")</f>
        <v>0</v>
      </c>
      <c r="E33" s="36">
        <f>SUM(C33:D33)</f>
        <v>0</v>
      </c>
      <c r="F33" s="36">
        <v>0</v>
      </c>
    </row>
    <row r="34" spans="1:6">
      <c r="A34" s="2" t="s">
        <v>137</v>
      </c>
      <c r="B34" s="2"/>
      <c r="C34" s="36">
        <f>C33</f>
        <v>0</v>
      </c>
      <c r="D34" s="36">
        <f>D33</f>
        <v>0</v>
      </c>
      <c r="E34" s="36">
        <f>E33</f>
        <v>0</v>
      </c>
      <c r="F34" s="36">
        <f>F33</f>
        <v>0</v>
      </c>
    </row>
    <row r="35" spans="1:6">
      <c r="A35" s="2"/>
      <c r="B35" s="2"/>
      <c r="C35" s="36"/>
      <c r="D35" s="36"/>
      <c r="E35" s="36"/>
      <c r="F35" s="36"/>
    </row>
    <row r="36" spans="1:6">
      <c r="A36" s="2" t="s">
        <v>138</v>
      </c>
      <c r="B36" s="2"/>
      <c r="C36" s="36"/>
      <c r="D36" s="36"/>
      <c r="E36" s="36"/>
      <c r="F36" s="36"/>
    </row>
    <row r="37" spans="1:6">
      <c r="A37" s="2" t="s">
        <v>109</v>
      </c>
      <c r="B37" s="2" t="s">
        <v>139</v>
      </c>
      <c r="C37" s="36">
        <f>SUMIFS(Mapping!$H$4:$H$25,Mapping!$C$4:$C$25,"Balance Sheet",Mapping!$D$4:$D$25,"Debtors",Mapping!$E$4:$E$25,"Unrestricted")</f>
        <v>4545.24</v>
      </c>
      <c r="D37" s="36">
        <f>SUMIFS(Mapping!$H$4:$H$25,Mapping!$C$4:$C$25,"Balance Sheet",Mapping!$D$4:$D$25,"Debtors",Mapping!$E$4:$E$25,"Restricted")</f>
        <v>0</v>
      </c>
      <c r="E37" s="36">
        <f>SUM(C37:D37)</f>
        <v>4545.24</v>
      </c>
      <c r="F37" s="36">
        <v>0</v>
      </c>
    </row>
    <row r="38" spans="1:6">
      <c r="A38" s="2" t="s">
        <v>105</v>
      </c>
      <c r="B38" s="2" t="s">
        <v>140</v>
      </c>
      <c r="C38" s="36">
        <f>SUMIFS(Mapping!$H$4:$H$25,Mapping!$C$4:$C$25,"Balance Sheet",Mapping!$D$4:$D$25,"Cash at bank and in hand",Mapping!$E$4:$E$25,"Unrestricted")</f>
        <v>83849.56</v>
      </c>
      <c r="D38" s="36">
        <f>SUMIFS(Mapping!$H$4:$H$25,Mapping!$C$4:$C$25,"Balance Sheet",Mapping!$D$4:$D$25,"Cash at bank and in hand",Mapping!$E$4:$E$25,"Restricted")</f>
        <v>0</v>
      </c>
      <c r="E38" s="36">
        <f>SUM(C38:D38)</f>
        <v>83849.56</v>
      </c>
      <c r="F38" s="36">
        <v>0</v>
      </c>
    </row>
    <row r="39" spans="1:6">
      <c r="A39" s="2" t="s">
        <v>141</v>
      </c>
      <c r="B39" s="2"/>
      <c r="C39" s="36">
        <f>SUM(C37:C38)</f>
        <v>88394.8</v>
      </c>
      <c r="D39" s="36">
        <f>SUM(D37:D38)</f>
        <v>0</v>
      </c>
      <c r="E39" s="36">
        <f>SUM(E37:E38)</f>
        <v>88394.8</v>
      </c>
      <c r="F39" s="36">
        <f>SUM(F37:F38)</f>
        <v>0</v>
      </c>
    </row>
    <row r="40" spans="1:6">
      <c r="A40" s="2"/>
      <c r="B40" s="2"/>
      <c r="C40" s="36"/>
      <c r="D40" s="36"/>
      <c r="E40" s="36"/>
      <c r="F40" s="36"/>
    </row>
    <row r="41" spans="1:6">
      <c r="A41" s="2" t="s">
        <v>142</v>
      </c>
      <c r="B41" s="2" t="s">
        <v>143</v>
      </c>
      <c r="C41" s="36">
        <f>SUMIFS(Mapping!$H$4:$H$25,Mapping!$C$4:$C$25,"Balance Sheet",Mapping!$D$4:$D$25,"Creditors due within one year",Mapping!$E$4:$E$25,"Unrestricted")</f>
        <v>10828.58</v>
      </c>
      <c r="D41" s="36">
        <f>SUMIFS(Mapping!$H$4:$H$25,Mapping!$C$4:$C$25,"Balance Sheet",Mapping!$D$4:$D$25,"Creditors due within one year",Mapping!$E$4:$E$25,"Restricted")</f>
        <v>0</v>
      </c>
      <c r="E41" s="36">
        <f>SUM(C41:D41)</f>
        <v>10828.58</v>
      </c>
      <c r="F41" s="36">
        <v>0</v>
      </c>
    </row>
    <row r="42" spans="1:6">
      <c r="A42" s="2" t="s">
        <v>144</v>
      </c>
      <c r="B42" s="2"/>
      <c r="C42" s="36">
        <f>C39-C41</f>
        <v>77566.22</v>
      </c>
      <c r="D42" s="36">
        <f>D39-D41</f>
        <v>0</v>
      </c>
      <c r="E42" s="36">
        <f>E39-E41</f>
        <v>77566.22</v>
      </c>
      <c r="F42" s="36">
        <f>F39-F41</f>
        <v>0</v>
      </c>
    </row>
    <row r="43" spans="1:6">
      <c r="A43" s="2" t="s">
        <v>145</v>
      </c>
      <c r="B43" s="2"/>
      <c r="C43" s="36">
        <f>C34+C42</f>
        <v>77566.22</v>
      </c>
      <c r="D43" s="36">
        <f>D34+D42</f>
        <v>0</v>
      </c>
      <c r="E43" s="36">
        <f>E34+E42</f>
        <v>77566.22</v>
      </c>
      <c r="F43" s="36">
        <f>F34+F42</f>
        <v>0</v>
      </c>
    </row>
    <row r="44" spans="1:6">
      <c r="A44" s="2" t="s">
        <v>146</v>
      </c>
      <c r="B44" s="2" t="s">
        <v>143</v>
      </c>
      <c r="C44" s="36">
        <f>SUMIFS(Mapping!$H$4:$H$25,Mapping!$C$4:$C$25,"Balance Sheet",Mapping!$D$4:$D$25,"Creditors due after more than one year",Mapping!$E$4:$E$25,"Unrestricted")</f>
        <v>0</v>
      </c>
      <c r="D44" s="36">
        <f>SUMIFS(Mapping!$H$4:$H$25,Mapping!$C$4:$C$25,"Balance Sheet",Mapping!$D$4:$D$25,"Creditors due after more than one year",Mapping!$E$4:$E$25,"Restricted")</f>
        <v>0</v>
      </c>
      <c r="E44" s="36">
        <f>SUM(C44:D44)</f>
        <v>0</v>
      </c>
      <c r="F44" s="36">
        <v>0</v>
      </c>
    </row>
    <row r="45" spans="1:6">
      <c r="A45" s="2" t="s">
        <v>147</v>
      </c>
      <c r="B45" s="2"/>
      <c r="C45" s="36">
        <f>C43-C44</f>
        <v>77566.22</v>
      </c>
      <c r="D45" s="36">
        <f>D43-D44</f>
        <v>0</v>
      </c>
      <c r="E45" s="36">
        <f>E43-E44</f>
        <v>77566.22</v>
      </c>
      <c r="F45" s="36">
        <f>F43-F44</f>
        <v>0</v>
      </c>
    </row>
    <row r="46" spans="1:6">
      <c r="A46" s="2"/>
      <c r="B46" s="2"/>
      <c r="C46" s="36"/>
      <c r="D46" s="36"/>
      <c r="E46" s="36"/>
      <c r="F46" s="36"/>
    </row>
    <row r="47" spans="1:6">
      <c r="A47" s="2" t="s">
        <v>148</v>
      </c>
      <c r="B47" s="2"/>
      <c r="C47" s="36"/>
      <c r="D47" s="36"/>
      <c r="E47" s="36"/>
      <c r="F47" s="36"/>
    </row>
    <row r="48" spans="1:6">
      <c r="A48" s="2" t="s">
        <v>149</v>
      </c>
      <c r="B48" s="2" t="s">
        <v>150</v>
      </c>
      <c r="C48" s="36">
        <f>C28</f>
        <v>77566.22</v>
      </c>
      <c r="D48" s="36">
        <f>0</f>
        <v>0</v>
      </c>
      <c r="E48" s="36">
        <f>SOFA!C52</f>
        <v>0</v>
      </c>
      <c r="F48" s="36">
        <f>SOFA!F52</f>
        <v>0</v>
      </c>
    </row>
    <row r="49" spans="1:6">
      <c r="A49" s="2" t="s">
        <v>151</v>
      </c>
      <c r="B49" s="2" t="s">
        <v>150</v>
      </c>
      <c r="C49" s="36">
        <f>0</f>
        <v>0</v>
      </c>
      <c r="D49" s="36">
        <f>SOFA!D52</f>
        <v>0</v>
      </c>
      <c r="E49" s="36">
        <f>SOFA!D52</f>
        <v>0</v>
      </c>
      <c r="F49" s="36">
        <f>0</f>
        <v>0</v>
      </c>
    </row>
    <row r="50" spans="1:6">
      <c r="A50" s="2" t="s">
        <v>152</v>
      </c>
      <c r="B50" s="2"/>
      <c r="C50" s="36">
        <f>SUM(C48:C49)</f>
        <v>77566.22</v>
      </c>
      <c r="D50" s="36">
        <f>SUM(D48:D49)</f>
        <v>0</v>
      </c>
      <c r="E50" s="36">
        <f>SUM(E48:E49)</f>
        <v>0</v>
      </c>
      <c r="F50" s="36">
        <f>SUM(F48:F49)</f>
        <v>0</v>
      </c>
    </row>
    <row r="51" spans="1:6">
      <c r="A51" s="2"/>
      <c r="B51" s="2"/>
      <c r="C51" s="2"/>
      <c r="D51" s="2"/>
      <c r="E51" s="2"/>
      <c r="F51" s="2"/>
    </row>
    <row r="52" spans="1:6">
      <c r="A52" s="40" t="s">
        <v>217</v>
      </c>
      <c r="B52" s="40"/>
      <c r="C52" s="40"/>
      <c r="D52" s="40"/>
      <c r="E52" s="40"/>
      <c r="F52" s="40"/>
    </row>
    <row r="53" spans="1:6">
      <c r="A53" s="2"/>
      <c r="B53" s="2"/>
      <c r="C53" s="2"/>
      <c r="D53" s="2"/>
      <c r="E53" s="2"/>
      <c r="F53" s="2"/>
    </row>
    <row r="54" spans="1:6" ht="29">
      <c r="A54" s="2" t="s">
        <v>218</v>
      </c>
      <c r="B54" s="53" t="s">
        <v>234</v>
      </c>
      <c r="C54" s="2"/>
      <c r="D54" s="2" t="s">
        <v>219</v>
      </c>
      <c r="E54" s="2" t="s">
        <v>234</v>
      </c>
      <c r="F54" s="2"/>
    </row>
    <row r="55" spans="1:6">
      <c r="A55" s="2" t="s">
        <v>235</v>
      </c>
      <c r="B55" s="2" t="s">
        <v>236</v>
      </c>
      <c r="C55" s="2"/>
      <c r="D55" s="2"/>
      <c r="E55" s="2"/>
      <c r="F55" s="2"/>
    </row>
    <row r="56" spans="1:6" ht="14.5">
      <c r="A56" s="41" t="s">
        <v>220</v>
      </c>
      <c r="B56" s="41"/>
      <c r="C56" s="41"/>
      <c r="D56" s="41"/>
      <c r="E56" s="41"/>
      <c r="F56" s="41"/>
    </row>
    <row r="57" spans="1:6">
      <c r="A57" s="2"/>
      <c r="B57" s="2"/>
      <c r="C57" s="2"/>
      <c r="D57" s="2"/>
      <c r="E57" s="2"/>
      <c r="F57" s="2"/>
    </row>
    <row r="58" spans="1:6">
      <c r="A58" s="2"/>
      <c r="B58" s="2"/>
      <c r="C58" s="2"/>
      <c r="D58" s="2"/>
      <c r="E58" s="2"/>
      <c r="F58" s="2"/>
    </row>
    <row r="59" spans="1:6">
      <c r="A59" s="2"/>
      <c r="B59" s="2"/>
      <c r="C59" s="2"/>
      <c r="D59" s="2"/>
      <c r="E59" s="2"/>
      <c r="F59" s="2"/>
    </row>
    <row r="60" spans="1:6">
      <c r="A60" s="2"/>
      <c r="B60" s="2"/>
      <c r="C60" s="2"/>
      <c r="D60" s="2"/>
      <c r="E60" s="2"/>
      <c r="F60" s="2"/>
    </row>
  </sheetData>
  <mergeCells count="8">
    <mergeCell ref="A30:F30"/>
    <mergeCell ref="A52:F52"/>
    <mergeCell ref="A56:F56"/>
    <mergeCell ref="A1:F1"/>
    <mergeCell ref="A2:F2"/>
    <mergeCell ref="A3:F3"/>
    <mergeCell ref="B4:C4"/>
    <mergeCell ref="A6:F6"/>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12"/>
  <sheetViews>
    <sheetView workbookViewId="0">
      <selection activeCell="B24" sqref="B24"/>
    </sheetView>
  </sheetViews>
  <sheetFormatPr defaultRowHeight="14"/>
  <cols>
    <col min="1" max="1" width="42" customWidth="1"/>
    <col min="2" max="2" width="20" customWidth="1"/>
    <col min="3" max="3" width="16" customWidth="1"/>
    <col min="4" max="4" width="44" customWidth="1"/>
  </cols>
  <sheetData>
    <row r="1" spans="1:4" ht="18">
      <c r="A1" s="45" t="s">
        <v>194</v>
      </c>
      <c r="B1" s="45"/>
      <c r="C1" s="45"/>
      <c r="D1" s="45"/>
    </row>
    <row r="3" spans="1:4">
      <c r="A3" s="4" t="s">
        <v>195</v>
      </c>
      <c r="B3" s="4" t="s">
        <v>196</v>
      </c>
      <c r="C3" s="4" t="s">
        <v>197</v>
      </c>
      <c r="D3" s="4" t="s">
        <v>198</v>
      </c>
    </row>
    <row r="4" spans="1:4">
      <c r="A4" t="s">
        <v>199</v>
      </c>
      <c r="B4" s="15">
        <f>'Trial Balance'!F26</f>
        <v>0</v>
      </c>
      <c r="C4" s="25" t="str">
        <f>IF(ABS(B4)&lt;0.01,"OK","ERROR")</f>
        <v>OK</v>
      </c>
      <c r="D4" t="s">
        <v>200</v>
      </c>
    </row>
    <row r="5" spans="1:4">
      <c r="A5" t="s">
        <v>201</v>
      </c>
      <c r="B5" s="15">
        <f>SOFA!E22-'Balance Sheet'!E19</f>
        <v>0</v>
      </c>
      <c r="C5" s="25" t="str">
        <f>IF(ABS(B5)&lt;0.01,"OK","ERROR")</f>
        <v>OK</v>
      </c>
      <c r="D5" t="s">
        <v>200</v>
      </c>
    </row>
    <row r="6" spans="1:4">
      <c r="A6" t="s">
        <v>202</v>
      </c>
      <c r="B6" s="15">
        <f>'Balance Sheet'!E24-'Balance Sheet'!E19</f>
        <v>0</v>
      </c>
      <c r="C6" s="25" t="str">
        <f>IF(ABS(B6)&lt;0.01,"OK","ERROR")</f>
        <v>OK</v>
      </c>
      <c r="D6" t="s">
        <v>200</v>
      </c>
    </row>
    <row r="7" spans="1:4">
      <c r="A7" t="s">
        <v>203</v>
      </c>
      <c r="B7" s="15">
        <f>Funds!G7-SOFA!E26</f>
        <v>0</v>
      </c>
      <c r="C7" s="25" t="str">
        <f>IF(ABS(B7)&lt;0.01,"OK","ERROR")</f>
        <v>OK</v>
      </c>
      <c r="D7" t="s">
        <v>200</v>
      </c>
    </row>
    <row r="8" spans="1:4">
      <c r="A8" t="s">
        <v>204</v>
      </c>
      <c r="B8" s="15">
        <f>COUNTIF(Mapping!I4:I25,"Review")</f>
        <v>0</v>
      </c>
      <c r="C8" s="25" t="str">
        <f>IF(B8=0,"OK","REVIEW")</f>
        <v>OK</v>
      </c>
      <c r="D8" t="s">
        <v>205</v>
      </c>
    </row>
    <row r="9" spans="1:4">
      <c r="A9" t="s">
        <v>206</v>
      </c>
      <c r="B9" s="15">
        <f>IF('Print Pack'!B4="[ENTER SCOTTISH CHARITY NUMBER]",1,0)</f>
        <v>0</v>
      </c>
      <c r="C9" s="25" t="str">
        <f>IF(B9=0,"OK","REVIEW")</f>
        <v>OK</v>
      </c>
      <c r="D9" t="s">
        <v>207</v>
      </c>
    </row>
    <row r="10" spans="1:4">
      <c r="A10" t="s">
        <v>208</v>
      </c>
      <c r="B10" s="15">
        <f>IF(Notes!B23="[ENTER]",1,0)</f>
        <v>0</v>
      </c>
      <c r="C10" s="25" t="str">
        <f>IF(B10=0,"OK","REVIEW")</f>
        <v>OK</v>
      </c>
      <c r="D10" t="s">
        <v>209</v>
      </c>
    </row>
    <row r="11" spans="1:4">
      <c r="A11" t="s">
        <v>210</v>
      </c>
      <c r="B11" s="15">
        <f>IF(LEFT(Notes!B25,6)="[ENTER",1,0)</f>
        <v>0</v>
      </c>
      <c r="C11" s="25" t="str">
        <f>IF(B11=0,"OK","REVIEW")</f>
        <v>OK</v>
      </c>
      <c r="D11" t="s">
        <v>211</v>
      </c>
    </row>
    <row r="12" spans="1:4">
      <c r="A12" t="s">
        <v>212</v>
      </c>
      <c r="B12" s="15">
        <f>IF(LEFT(Notes!B39,6)="[ENTER",1,0)</f>
        <v>0</v>
      </c>
      <c r="C12" s="25" t="str">
        <f>IF(B12=0,"OK","REVIEW")</f>
        <v>OK</v>
      </c>
      <c r="D12" t="s">
        <v>211</v>
      </c>
    </row>
  </sheetData>
  <mergeCells count="1">
    <mergeCell ref="A1:D1"/>
  </mergeCells>
  <conditionalFormatting sqref="C4:C12">
    <cfRule type="expression" dxfId="1" priority="1">
      <formula>C4="OK"</formula>
    </cfRule>
    <cfRule type="expression" dxfId="0" priority="2">
      <formula>OR(C4="ERROR",C4="REVIEW")</formula>
    </cfRule>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efcb20c-a255-4ef4-a666-2774ba48434a">
      <Terms xmlns="http://schemas.microsoft.com/office/infopath/2007/PartnerControls"/>
    </lcf76f155ced4ddcb4097134ff3c332f>
    <TaxCatchAll xmlns="531408f3-8ac9-4346-8fae-7a8076793e8c" xsi:nil="true"/>
    <DocTags xmlns="0efcb20c-a255-4ef4-a666-2774ba48434a">
      <Value>accounts</Value>
    </DocTag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D04853568B40F4E8366B3070197220F" ma:contentTypeVersion="19" ma:contentTypeDescription="Create a new document." ma:contentTypeScope="" ma:versionID="92e2f34063cad783ae2806e55cede758">
  <xsd:schema xmlns:xsd="http://www.w3.org/2001/XMLSchema" xmlns:xs="http://www.w3.org/2001/XMLSchema" xmlns:p="http://schemas.microsoft.com/office/2006/metadata/properties" xmlns:ns2="0efcb20c-a255-4ef4-a666-2774ba48434a" xmlns:ns3="531408f3-8ac9-4346-8fae-7a8076793e8c" targetNamespace="http://schemas.microsoft.com/office/2006/metadata/properties" ma:root="true" ma:fieldsID="b4ca0a0b40554e6041aa1af748586c6c" ns2:_="" ns3:_="">
    <xsd:import namespace="0efcb20c-a255-4ef4-a666-2774ba48434a"/>
    <xsd:import namespace="531408f3-8ac9-4346-8fae-7a8076793e8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lcf76f155ced4ddcb4097134ff3c332f" minOccurs="0"/>
                <xsd:element ref="ns3:TaxCatchAll" minOccurs="0"/>
                <xsd:element ref="ns2:MediaServiceLocation"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Doc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fcb20c-a255-4ef4-a666-2774ba4843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description=""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f9bda7b3-fa30-4866-a047-bdcbe10387d6"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DocTags" ma:index="26" nillable="true" ma:displayName="DocTags" ma:format="Dropdown" ma:internalName="DocTags">
      <xsd:complexType>
        <xsd:complexContent>
          <xsd:extension base="dms:MultiChoice">
            <xsd:sequence>
              <xsd:element name="Value" maxOccurs="unbounded" minOccurs="0" nillable="true">
                <xsd:simpleType>
                  <xsd:restriction base="dms:Choice">
                    <xsd:enumeration value="Accounts"/>
                    <xsd:enumeration value="External Scrutiny Report"/>
                    <xsd:enumeration value="Trustee Annual Report"/>
                    <xsd:enumeration value="Other"/>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31408f3-8ac9-4346-8fae-7a8076793e8c"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5928c1bd-2f72-4b7f-b28c-a0ac07293b38}" ma:internalName="TaxCatchAll" ma:showField="CatchAllData" ma:web="531408f3-8ac9-4346-8fae-7a8076793e8c">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BAA2758-6632-4AA3-8A60-4E88545B7274}">
  <ds:schemaRefs>
    <ds:schemaRef ds:uri="http://schemas.microsoft.com/office/2006/metadata/properties"/>
    <ds:schemaRef ds:uri="http://schemas.microsoft.com/office/infopath/2007/PartnerControls"/>
    <ds:schemaRef ds:uri="9961dc9e-e276-45a8-a2c0-55c6800b29df"/>
    <ds:schemaRef ds:uri="7928269c-611e-4dbe-835c-9c83a8563136"/>
  </ds:schemaRefs>
</ds:datastoreItem>
</file>

<file path=customXml/itemProps2.xml><?xml version="1.0" encoding="utf-8"?>
<ds:datastoreItem xmlns:ds="http://schemas.openxmlformats.org/officeDocument/2006/customXml" ds:itemID="{51313CC7-8349-4353-AC8D-C7ADA62AE28B}"/>
</file>

<file path=customXml/itemProps3.xml><?xml version="1.0" encoding="utf-8"?>
<ds:datastoreItem xmlns:ds="http://schemas.openxmlformats.org/officeDocument/2006/customXml" ds:itemID="{467B7A2C-48EC-4672-82D6-65D95CDE091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9</vt:i4>
      </vt:variant>
    </vt:vector>
  </HeadingPairs>
  <TitlesOfParts>
    <vt:vector size="9" baseType="lpstr">
      <vt:lpstr>Instructions</vt:lpstr>
      <vt:lpstr>Trial Balance</vt:lpstr>
      <vt:lpstr>Mapping</vt:lpstr>
      <vt:lpstr>SOFA</vt:lpstr>
      <vt:lpstr>Balance Sheet</vt:lpstr>
      <vt:lpstr>Notes</vt:lpstr>
      <vt:lpstr>Funds</vt:lpstr>
      <vt:lpstr>Print Pack</vt:lpstr>
      <vt:lpstr>Validation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Sarah Peacock</dc:creator>
  <cp:lastModifiedBy>Sarah Peacock</cp:lastModifiedBy>
  <cp:lastPrinted>2026-09-11T10:23:35Z</cp:lastPrinted>
  <dcterms:modified xsi:type="dcterms:W3CDTF">2026-09-11T10:27:44Z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0x010100CD04853568B40F4E8366B3070197220F</vt:lpwstr>
  </property>
  <property fmtid="{D5CDD505-2E9C-101B-9397-08002B2CF9AE}" pid="3" name="MediaServiceImageTags">
    <vt:lpwstr/>
  </property>
</Properties>
</file>