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obert Barclay\Documents\Pres 2025 Attestations\R&amp;P Acs 2025\"/>
    </mc:Choice>
  </mc:AlternateContent>
  <xr:revisionPtr revIDLastSave="0" documentId="13_ncr:1_{A934A155-09B1-47B7-8F45-EB846E6B662A}" xr6:coauthVersionLast="47" xr6:coauthVersionMax="47" xr10:uidLastSave="{00000000-0000-0000-0000-000000000000}"/>
  <bookViews>
    <workbookView xWindow="540" yWindow="84" windowWidth="21384" windowHeight="10584" tabRatio="599" firstSheet="3" activeTab="4" xr2:uid="{00000000-000D-0000-FFFF-FFFF00000000}"/>
  </bookViews>
  <sheets>
    <sheet name="cover and guidance" sheetId="1" r:id="rId1"/>
    <sheet name="ref info" sheetId="2" r:id="rId2"/>
    <sheet name="Trustees Report" sheetId="3" r:id="rId3"/>
    <sheet name="Examiners Report" sheetId="6" r:id="rId4"/>
    <sheet name="R&amp;P Account" sheetId="7" r:id="rId5"/>
    <sheet name="Statement of Balances" sheetId="8" r:id="rId6"/>
    <sheet name="Notes to Accounts" sheetId="15" r:id="rId7"/>
    <sheet name="Bank" sheetId="16" r:id="rId8"/>
    <sheet name="Sheet1" sheetId="17" r:id="rId9"/>
    <sheet name="Appendix" sheetId="13" r:id="rId10"/>
  </sheets>
  <definedNames>
    <definedName name="_xlnm.Print_Area" localSheetId="0">'cover and guidance'!$A$4:$I$32</definedName>
    <definedName name="_xlnm.Print_Area" localSheetId="3">'Examiners Report'!$A$1:$J$30</definedName>
    <definedName name="_xlnm.Print_Area" localSheetId="6">'Notes to Accounts'!$A$6:$I$145</definedName>
    <definedName name="_xlnm.Print_Area" localSheetId="4">'R&amp;P Account'!$A$1:$H$45</definedName>
    <definedName name="_xlnm.Print_Area" localSheetId="1">'ref info'!$A$1:$I$47</definedName>
    <definedName name="_xlnm.Print_Area" localSheetId="5">'Statement of Balances'!$A$1:$H$41</definedName>
    <definedName name="_xlnm.Print_Area" localSheetId="2">'Trustees Report'!$A$5:$H$38</definedName>
    <definedName name="_xlnm.Print_Titles" localSheetId="6">'Notes to Accounts'!$1:$5</definedName>
    <definedName name="_xlnm.Print_Titles" localSheetId="2">'Trustees Report'!$1:$4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6" l="1"/>
  <c r="G14" i="15"/>
  <c r="D13" i="7"/>
  <c r="Q20" i="7"/>
  <c r="Q23" i="7"/>
  <c r="E23" i="7" s="1"/>
  <c r="Q24" i="7"/>
  <c r="E24" i="7" s="1"/>
  <c r="W32" i="16"/>
  <c r="K20" i="7"/>
  <c r="K53" i="15"/>
  <c r="I51" i="15" l="1"/>
  <c r="Q90" i="16"/>
  <c r="Q88" i="16"/>
  <c r="F88" i="16"/>
  <c r="G88" i="16"/>
  <c r="H88" i="16"/>
  <c r="I88" i="16"/>
  <c r="J88" i="16"/>
  <c r="K88" i="16"/>
  <c r="L88" i="16"/>
  <c r="M88" i="16"/>
  <c r="N88" i="16"/>
  <c r="O88" i="16"/>
  <c r="P88" i="16"/>
  <c r="E88" i="16"/>
  <c r="S78" i="16"/>
  <c r="R79" i="16"/>
  <c r="R78" i="16"/>
  <c r="R40" i="16" l="1"/>
  <c r="S18" i="16"/>
  <c r="Q64" i="16"/>
  <c r="P40" i="16"/>
  <c r="H137" i="15"/>
  <c r="H133" i="15"/>
  <c r="P78" i="16"/>
  <c r="H136" i="15" l="1"/>
  <c r="H135" i="15"/>
  <c r="E39" i="16"/>
  <c r="H39" i="16"/>
  <c r="K39" i="16"/>
  <c r="U55" i="15"/>
  <c r="T55" i="15"/>
  <c r="L55" i="15"/>
  <c r="M55" i="15"/>
  <c r="N55" i="15"/>
  <c r="O55" i="15"/>
  <c r="Q22" i="7" l="1"/>
  <c r="Q27" i="7" s="1"/>
  <c r="U21" i="16"/>
  <c r="U20" i="16"/>
  <c r="U19" i="16"/>
  <c r="U17" i="16"/>
  <c r="U22" i="16" s="1"/>
  <c r="H23" i="15"/>
  <c r="H15" i="15" s="1"/>
  <c r="D12" i="7"/>
  <c r="D16" i="7"/>
  <c r="D17" i="7"/>
  <c r="D19" i="7"/>
  <c r="N23" i="7"/>
  <c r="P23" i="7" s="1"/>
  <c r="F23" i="15" s="1"/>
  <c r="L11" i="7"/>
  <c r="N11" i="7"/>
  <c r="N22" i="7" s="1"/>
  <c r="G23" i="16"/>
  <c r="G22" i="16"/>
  <c r="P12" i="7"/>
  <c r="P16" i="7"/>
  <c r="P17" i="7"/>
  <c r="P19" i="7"/>
  <c r="O47" i="15"/>
  <c r="K52" i="15" s="1"/>
  <c r="K51" i="15" s="1"/>
  <c r="F83" i="16"/>
  <c r="F84" i="16" s="1"/>
  <c r="G83" i="16"/>
  <c r="G84" i="16" s="1"/>
  <c r="H83" i="16"/>
  <c r="H84" i="16" s="1"/>
  <c r="I83" i="16"/>
  <c r="I84" i="16" s="1"/>
  <c r="J83" i="16"/>
  <c r="J84" i="16" s="1"/>
  <c r="K83" i="16"/>
  <c r="K84" i="16" s="1"/>
  <c r="L83" i="16"/>
  <c r="L84" i="16" s="1"/>
  <c r="M83" i="16"/>
  <c r="M84" i="16" s="1"/>
  <c r="N83" i="16"/>
  <c r="N84" i="16" s="1"/>
  <c r="O83" i="16"/>
  <c r="O84" i="16" s="1"/>
  <c r="E83" i="16"/>
  <c r="E84" i="16" s="1"/>
  <c r="Q86" i="16"/>
  <c r="P77" i="16"/>
  <c r="Q77" i="16" s="1"/>
  <c r="Q76" i="16"/>
  <c r="Q80" i="16"/>
  <c r="Q71" i="16"/>
  <c r="Q72" i="16"/>
  <c r="Q73" i="16"/>
  <c r="Q74" i="16"/>
  <c r="Q75" i="16"/>
  <c r="K25" i="7" s="1"/>
  <c r="P25" i="7" s="1"/>
  <c r="E25" i="7" s="1"/>
  <c r="Q70" i="16"/>
  <c r="K14" i="7" s="1"/>
  <c r="Q69" i="16"/>
  <c r="K13" i="7" s="1"/>
  <c r="P13" i="7" s="1"/>
  <c r="L73" i="15"/>
  <c r="L20" i="16"/>
  <c r="L19" i="16"/>
  <c r="L18" i="7" s="1"/>
  <c r="P18" i="7" s="1"/>
  <c r="D18" i="7" s="1"/>
  <c r="L18" i="16"/>
  <c r="L14" i="7" s="1"/>
  <c r="L17" i="16"/>
  <c r="L15" i="7" s="1"/>
  <c r="N88" i="15"/>
  <c r="M88" i="15"/>
  <c r="L88" i="15"/>
  <c r="O74" i="15"/>
  <c r="N75" i="15"/>
  <c r="N79" i="15" s="1"/>
  <c r="H11" i="16"/>
  <c r="M76" i="15" s="1"/>
  <c r="M79" i="15" s="1"/>
  <c r="K65" i="15"/>
  <c r="O65" i="15" s="1"/>
  <c r="E65" i="15" s="1"/>
  <c r="K71" i="15"/>
  <c r="O71" i="15" s="1"/>
  <c r="E71" i="15" s="1"/>
  <c r="K66" i="15"/>
  <c r="O66" i="15" s="1"/>
  <c r="E66" i="15" s="1"/>
  <c r="K82" i="15"/>
  <c r="O82" i="15" s="1"/>
  <c r="K85" i="15"/>
  <c r="K88" i="15" s="1"/>
  <c r="K60" i="15"/>
  <c r="O60" i="15" s="1"/>
  <c r="E60" i="15" s="1"/>
  <c r="K72" i="15"/>
  <c r="O72" i="15" s="1"/>
  <c r="E72" i="15" s="1"/>
  <c r="K70" i="15"/>
  <c r="O70" i="15" s="1"/>
  <c r="E70" i="15" s="1"/>
  <c r="K69" i="15"/>
  <c r="O69" i="15" s="1"/>
  <c r="E69" i="15" s="1"/>
  <c r="K68" i="15"/>
  <c r="O68" i="15" s="1"/>
  <c r="E68" i="15" s="1"/>
  <c r="K67" i="15"/>
  <c r="O67" i="15" s="1"/>
  <c r="E67" i="15" s="1"/>
  <c r="K64" i="15"/>
  <c r="O64" i="15" s="1"/>
  <c r="E64" i="15" s="1"/>
  <c r="K63" i="15"/>
  <c r="O63" i="15" s="1"/>
  <c r="E63" i="15" s="1"/>
  <c r="C61" i="16"/>
  <c r="K77" i="15" s="1"/>
  <c r="O77" i="15" s="1"/>
  <c r="E77" i="15" s="1"/>
  <c r="P63" i="16"/>
  <c r="P65" i="16" s="1"/>
  <c r="O63" i="16"/>
  <c r="O65" i="16" s="1"/>
  <c r="N63" i="16"/>
  <c r="N65" i="16" s="1"/>
  <c r="M63" i="16"/>
  <c r="M65" i="16" s="1"/>
  <c r="L63" i="16"/>
  <c r="L65" i="16" s="1"/>
  <c r="K63" i="16"/>
  <c r="K65" i="16" s="1"/>
  <c r="J63" i="16"/>
  <c r="J65" i="16" s="1"/>
  <c r="I63" i="16"/>
  <c r="I65" i="16" s="1"/>
  <c r="H63" i="16"/>
  <c r="H65" i="16" s="1"/>
  <c r="G63" i="16"/>
  <c r="G65" i="16" s="1"/>
  <c r="F63" i="16"/>
  <c r="F65" i="16" s="1"/>
  <c r="E63" i="16"/>
  <c r="E65" i="16" s="1"/>
  <c r="Q54" i="16"/>
  <c r="D54" i="16" s="1"/>
  <c r="Q55" i="16"/>
  <c r="D55" i="16" s="1"/>
  <c r="Q56" i="16"/>
  <c r="D56" i="16" s="1"/>
  <c r="Q57" i="16"/>
  <c r="D57" i="16" s="1"/>
  <c r="Q58" i="16"/>
  <c r="D58" i="16" s="1"/>
  <c r="Q59" i="16"/>
  <c r="D59" i="16" s="1"/>
  <c r="Q60" i="16"/>
  <c r="D60" i="16" s="1"/>
  <c r="Q61" i="16"/>
  <c r="C17" i="16"/>
  <c r="C64" i="16" s="1"/>
  <c r="D4" i="16"/>
  <c r="D5" i="16" s="1"/>
  <c r="D6" i="16" s="1"/>
  <c r="D4" i="17"/>
  <c r="D5" i="17" s="1"/>
  <c r="D6" i="17" s="1"/>
  <c r="D7" i="17" s="1"/>
  <c r="D8" i="17" s="1"/>
  <c r="D9" i="17" s="1"/>
  <c r="D10" i="17" s="1"/>
  <c r="D11" i="17" s="1"/>
  <c r="D12" i="17" s="1"/>
  <c r="D13" i="17" s="1"/>
  <c r="D14" i="17" s="1"/>
  <c r="D15" i="17" s="1"/>
  <c r="Q44" i="16"/>
  <c r="D44" i="16" s="1"/>
  <c r="Q45" i="16"/>
  <c r="D45" i="16" s="1"/>
  <c r="Q46" i="16"/>
  <c r="D46" i="16" s="1"/>
  <c r="Q47" i="16"/>
  <c r="D47" i="16" s="1"/>
  <c r="Q48" i="16"/>
  <c r="D48" i="16" s="1"/>
  <c r="Q49" i="16"/>
  <c r="D49" i="16" s="1"/>
  <c r="Q50" i="16"/>
  <c r="D50" i="16" s="1"/>
  <c r="Q51" i="16"/>
  <c r="D51" i="16" s="1"/>
  <c r="Q52" i="16"/>
  <c r="Q53" i="16"/>
  <c r="D53" i="16" s="1"/>
  <c r="Q43" i="16"/>
  <c r="D43" i="16" s="1"/>
  <c r="Q42" i="16"/>
  <c r="D42" i="16" s="1"/>
  <c r="Q41" i="16"/>
  <c r="D41" i="16" s="1"/>
  <c r="Q39" i="16"/>
  <c r="D39" i="16" s="1"/>
  <c r="Q38" i="16"/>
  <c r="D38" i="16" s="1"/>
  <c r="Q36" i="16"/>
  <c r="Q37" i="16"/>
  <c r="D37" i="16" s="1"/>
  <c r="C52" i="16"/>
  <c r="K73" i="15" s="1"/>
  <c r="B17" i="16"/>
  <c r="P26" i="16"/>
  <c r="P25" i="16"/>
  <c r="P21" i="16"/>
  <c r="P20" i="16"/>
  <c r="P19" i="16"/>
  <c r="P17" i="16"/>
  <c r="S7" i="16"/>
  <c r="S9" i="16" s="1"/>
  <c r="S21" i="16" s="1"/>
  <c r="N13" i="16"/>
  <c r="N15" i="16" s="1"/>
  <c r="S20" i="16" s="1"/>
  <c r="H15" i="16"/>
  <c r="H18" i="16" s="1"/>
  <c r="N110" i="15"/>
  <c r="G5" i="16" s="1"/>
  <c r="N109" i="15"/>
  <c r="G4" i="16" s="1"/>
  <c r="N118" i="15"/>
  <c r="N116" i="15"/>
  <c r="N117" i="15"/>
  <c r="S111" i="15"/>
  <c r="R111" i="15"/>
  <c r="T111" i="15" s="1"/>
  <c r="V111" i="15" s="1"/>
  <c r="R121" i="15"/>
  <c r="T121" i="15" s="1"/>
  <c r="V121" i="15" s="1"/>
  <c r="S25" i="16" s="1"/>
  <c r="M127" i="15"/>
  <c r="M126" i="15"/>
  <c r="Q122" i="15"/>
  <c r="P52" i="15" l="1"/>
  <c r="E52" i="15" s="1"/>
  <c r="P20" i="7"/>
  <c r="D20" i="7" s="1"/>
  <c r="N90" i="15"/>
  <c r="N120" i="15"/>
  <c r="R113" i="15"/>
  <c r="S113" i="15" s="1"/>
  <c r="S123" i="15" s="1"/>
  <c r="O14" i="7" s="1"/>
  <c r="P14" i="7" s="1"/>
  <c r="D14" i="7" s="1"/>
  <c r="P53" i="15"/>
  <c r="E53" i="15" s="1"/>
  <c r="P83" i="16"/>
  <c r="P84" i="16" s="1"/>
  <c r="Q83" i="16"/>
  <c r="Q84" i="16" s="1"/>
  <c r="V123" i="15"/>
  <c r="S26" i="16"/>
  <c r="N113" i="15"/>
  <c r="G21" i="16"/>
  <c r="G24" i="16" s="1"/>
  <c r="M24" i="7" s="1"/>
  <c r="P24" i="7" s="1"/>
  <c r="F24" i="15" s="1"/>
  <c r="M90" i="15"/>
  <c r="L22" i="7"/>
  <c r="L27" i="7" s="1"/>
  <c r="N27" i="7"/>
  <c r="M22" i="7"/>
  <c r="L79" i="15"/>
  <c r="L90" i="15" s="1"/>
  <c r="D61" i="16"/>
  <c r="Q63" i="16"/>
  <c r="D7" i="16"/>
  <c r="D8" i="16" s="1"/>
  <c r="D9" i="16" s="1"/>
  <c r="D10" i="16" s="1"/>
  <c r="D11" i="16" s="1"/>
  <c r="D12" i="16" s="1"/>
  <c r="D13" i="16" s="1"/>
  <c r="D14" i="16" s="1"/>
  <c r="D15" i="16" s="1"/>
  <c r="S17" i="16" s="1"/>
  <c r="O75" i="15"/>
  <c r="F75" i="15" s="1"/>
  <c r="D36" i="16"/>
  <c r="D52" i="16"/>
  <c r="O76" i="15"/>
  <c r="F76" i="15" s="1"/>
  <c r="O85" i="15"/>
  <c r="O88" i="15" s="1"/>
  <c r="K79" i="15"/>
  <c r="K90" i="15" s="1"/>
  <c r="L21" i="16"/>
  <c r="F14" i="15" s="1"/>
  <c r="O73" i="15"/>
  <c r="C63" i="16"/>
  <c r="I10" i="16"/>
  <c r="I12" i="16" s="1"/>
  <c r="S19" i="16" s="1"/>
  <c r="N114" i="15"/>
  <c r="O111" i="15"/>
  <c r="O110" i="15"/>
  <c r="O109" i="15"/>
  <c r="O117" i="15"/>
  <c r="O118" i="15"/>
  <c r="O116" i="15"/>
  <c r="N20" i="15" l="1"/>
  <c r="R123" i="15"/>
  <c r="O15" i="7" s="1"/>
  <c r="P15" i="7" s="1"/>
  <c r="D15" i="7" s="1"/>
  <c r="N123" i="15"/>
  <c r="S22" i="16"/>
  <c r="S28" i="16" s="1"/>
  <c r="K33" i="15" s="1"/>
  <c r="P51" i="15"/>
  <c r="P55" i="15" s="1"/>
  <c r="M27" i="7"/>
  <c r="K55" i="15"/>
  <c r="D63" i="16"/>
  <c r="C65" i="16"/>
  <c r="O79" i="15"/>
  <c r="O90" i="15" s="1"/>
  <c r="E73" i="15"/>
  <c r="E79" i="15" s="1"/>
  <c r="D31" i="7" s="1"/>
  <c r="K31" i="7" s="1"/>
  <c r="M119" i="15"/>
  <c r="K119" i="15"/>
  <c r="M118" i="15"/>
  <c r="M117" i="15"/>
  <c r="M116" i="15"/>
  <c r="M110" i="15"/>
  <c r="M111" i="15"/>
  <c r="M109" i="15"/>
  <c r="K118" i="15"/>
  <c r="K117" i="15"/>
  <c r="K116" i="15"/>
  <c r="K110" i="15"/>
  <c r="K111" i="15"/>
  <c r="K109" i="15"/>
  <c r="O22" i="7" l="1"/>
  <c r="O27" i="7" s="1"/>
  <c r="K11" i="7"/>
  <c r="P11" i="7" s="1"/>
  <c r="D11" i="7" s="1"/>
  <c r="E51" i="15"/>
  <c r="M113" i="15"/>
  <c r="H109" i="15"/>
  <c r="I109" i="15"/>
  <c r="H111" i="15"/>
  <c r="I111" i="15"/>
  <c r="I118" i="15"/>
  <c r="H118" i="15"/>
  <c r="H110" i="15"/>
  <c r="I110" i="15"/>
  <c r="M120" i="15"/>
  <c r="H116" i="15"/>
  <c r="I116" i="15"/>
  <c r="H117" i="15"/>
  <c r="I117" i="15"/>
  <c r="H60" i="15"/>
  <c r="D22" i="7" l="1"/>
  <c r="B22" i="7" s="1"/>
  <c r="P22" i="7"/>
  <c r="K22" i="7"/>
  <c r="K27" i="7" s="1"/>
  <c r="M123" i="15"/>
  <c r="M129" i="15" s="1"/>
  <c r="F120" i="15"/>
  <c r="G120" i="15"/>
  <c r="F113" i="15"/>
  <c r="G113" i="15"/>
  <c r="E113" i="15"/>
  <c r="E120" i="15"/>
  <c r="F20" i="15"/>
  <c r="G23" i="7"/>
  <c r="G24" i="15"/>
  <c r="G23" i="15"/>
  <c r="G20" i="15"/>
  <c r="H71" i="15"/>
  <c r="H72" i="15"/>
  <c r="H73" i="15"/>
  <c r="H86" i="15"/>
  <c r="A4" i="6"/>
  <c r="P27" i="7" l="1"/>
  <c r="R27" i="7" s="1"/>
  <c r="R22" i="7"/>
  <c r="G123" i="15"/>
  <c r="H113" i="15"/>
  <c r="F123" i="15"/>
  <c r="F105" i="15" s="1"/>
  <c r="H120" i="15"/>
  <c r="E123" i="15"/>
  <c r="E105" i="15" s="1"/>
  <c r="A1" i="6"/>
  <c r="A1" i="3"/>
  <c r="G16" i="7"/>
  <c r="A2" i="13"/>
  <c r="I120" i="15"/>
  <c r="D24" i="8" s="1"/>
  <c r="H123" i="15" l="1"/>
  <c r="H105" i="15" s="1"/>
  <c r="I105" i="15" s="1"/>
  <c r="F7" i="2"/>
  <c r="F6" i="2"/>
  <c r="A2" i="6" s="1"/>
  <c r="F5" i="2"/>
  <c r="A3" i="3"/>
  <c r="A18" i="1"/>
  <c r="A3" i="15"/>
  <c r="F88" i="15" l="1"/>
  <c r="G88" i="15"/>
  <c r="E88" i="15"/>
  <c r="I88" i="15"/>
  <c r="F42" i="7" l="1"/>
  <c r="A1" i="13"/>
  <c r="A1" i="15"/>
  <c r="A1" i="8"/>
  <c r="A1" i="7"/>
  <c r="A1" i="2"/>
  <c r="G9" i="13" l="1"/>
  <c r="I9" i="13"/>
  <c r="I14" i="15" l="1"/>
  <c r="J14" i="15" s="1"/>
  <c r="I141" i="15"/>
  <c r="H141" i="15"/>
  <c r="F79" i="15"/>
  <c r="G79" i="15"/>
  <c r="G90" i="15" s="1"/>
  <c r="I79" i="15"/>
  <c r="G31" i="8"/>
  <c r="F90" i="15" l="1"/>
  <c r="E90" i="15"/>
  <c r="I90" i="15"/>
  <c r="I131" i="15"/>
  <c r="H131" i="15"/>
  <c r="I103" i="15"/>
  <c r="E103" i="15"/>
  <c r="I48" i="15"/>
  <c r="H48" i="15"/>
  <c r="G48" i="15"/>
  <c r="F48" i="15"/>
  <c r="E48" i="15"/>
  <c r="I11" i="15"/>
  <c r="E11" i="15"/>
  <c r="A3" i="8"/>
  <c r="H8" i="8"/>
  <c r="E8" i="8"/>
  <c r="F8" i="8"/>
  <c r="G8" i="8"/>
  <c r="D8" i="8"/>
  <c r="E8" i="7"/>
  <c r="H8" i="7"/>
  <c r="F8" i="7"/>
  <c r="G8" i="7"/>
  <c r="A3" i="7"/>
  <c r="H24" i="8" l="1"/>
  <c r="I21" i="15" l="1"/>
  <c r="L22" i="15" s="1"/>
  <c r="I20" i="15"/>
  <c r="L21" i="15" s="1"/>
  <c r="F26" i="15"/>
  <c r="G26" i="15"/>
  <c r="H26" i="15"/>
  <c r="E42" i="7" s="1"/>
  <c r="E26" i="15"/>
  <c r="E13" i="8" s="1"/>
  <c r="I113" i="15" l="1"/>
  <c r="F36" i="7"/>
  <c r="H82" i="15"/>
  <c r="G32" i="7" s="1"/>
  <c r="F31" i="7"/>
  <c r="G13" i="7"/>
  <c r="G19" i="7"/>
  <c r="E32" i="7"/>
  <c r="F32" i="7"/>
  <c r="H32" i="7"/>
  <c r="D32" i="7"/>
  <c r="E30" i="7"/>
  <c r="H30" i="7"/>
  <c r="I123" i="15" l="1"/>
  <c r="F24" i="8"/>
  <c r="G24" i="8" s="1"/>
  <c r="F30" i="7"/>
  <c r="F34" i="7" s="1"/>
  <c r="F38" i="7" s="1"/>
  <c r="G25" i="7" l="1"/>
  <c r="G24" i="7"/>
  <c r="H85" i="15"/>
  <c r="F55" i="15"/>
  <c r="E11" i="7" s="1"/>
  <c r="G55" i="15"/>
  <c r="F11" i="7" s="1"/>
  <c r="F22" i="7" s="1"/>
  <c r="F27" i="7" s="1"/>
  <c r="F41" i="7" s="1"/>
  <c r="F44" i="7" s="1"/>
  <c r="F17" i="8" s="1"/>
  <c r="H31" i="15"/>
  <c r="G31" i="15"/>
  <c r="F31" i="15"/>
  <c r="E31" i="15"/>
  <c r="F13" i="8" s="1"/>
  <c r="I29" i="15"/>
  <c r="I31" i="15" s="1"/>
  <c r="I24" i="15"/>
  <c r="J24" i="15" s="1"/>
  <c r="I23" i="15"/>
  <c r="J23" i="15" s="1"/>
  <c r="I22" i="15"/>
  <c r="L23" i="15" s="1"/>
  <c r="H17" i="15"/>
  <c r="D42" i="7" s="1"/>
  <c r="G42" i="7" s="1"/>
  <c r="E17" i="15"/>
  <c r="D13" i="8" s="1"/>
  <c r="D36" i="7"/>
  <c r="H77" i="15"/>
  <c r="H76" i="15"/>
  <c r="H75" i="15"/>
  <c r="H74" i="15"/>
  <c r="H70" i="15"/>
  <c r="H69" i="15"/>
  <c r="H67" i="15"/>
  <c r="H66" i="15"/>
  <c r="H65" i="15"/>
  <c r="H64" i="15"/>
  <c r="D30" i="7"/>
  <c r="H53" i="15"/>
  <c r="H52" i="15"/>
  <c r="I55" i="15"/>
  <c r="H11" i="7" s="1"/>
  <c r="G28" i="8"/>
  <c r="G14" i="7"/>
  <c r="G20" i="7"/>
  <c r="G18" i="7"/>
  <c r="G17" i="7"/>
  <c r="G12" i="7"/>
  <c r="G15" i="7"/>
  <c r="H51" i="15"/>
  <c r="H68" i="15"/>
  <c r="H63" i="15"/>
  <c r="E55" i="15"/>
  <c r="D27" i="7" s="1"/>
  <c r="F15" i="15" s="1"/>
  <c r="H36" i="7" l="1"/>
  <c r="H88" i="15"/>
  <c r="G36" i="7" s="1"/>
  <c r="H79" i="15"/>
  <c r="G31" i="7" s="1"/>
  <c r="E31" i="7"/>
  <c r="I26" i="15"/>
  <c r="F17" i="15"/>
  <c r="F33" i="15" s="1"/>
  <c r="H31" i="7"/>
  <c r="H34" i="7" s="1"/>
  <c r="H38" i="7" s="1"/>
  <c r="G13" i="8"/>
  <c r="U30" i="16" s="1"/>
  <c r="U32" i="16" s="1"/>
  <c r="E33" i="15"/>
  <c r="H55" i="15"/>
  <c r="G11" i="7" s="1"/>
  <c r="G22" i="7" s="1"/>
  <c r="D34" i="7"/>
  <c r="D38" i="7" s="1"/>
  <c r="K38" i="7" s="1"/>
  <c r="H33" i="15"/>
  <c r="F20" i="8"/>
  <c r="M31" i="15" s="1"/>
  <c r="H22" i="7"/>
  <c r="H27" i="7" s="1"/>
  <c r="E22" i="7"/>
  <c r="E27" i="7" s="1"/>
  <c r="E34" i="7" l="1"/>
  <c r="L31" i="7"/>
  <c r="D41" i="7"/>
  <c r="D44" i="7" s="1"/>
  <c r="D17" i="8" s="1"/>
  <c r="D20" i="8" s="1"/>
  <c r="J22" i="8" s="1"/>
  <c r="G15" i="15"/>
  <c r="G17" i="15" s="1"/>
  <c r="G33" i="15" s="1"/>
  <c r="G30" i="7"/>
  <c r="G34" i="7" s="1"/>
  <c r="G38" i="7" s="1"/>
  <c r="H90" i="15"/>
  <c r="E36" i="7"/>
  <c r="H41" i="7"/>
  <c r="H44" i="7" s="1"/>
  <c r="H17" i="8" s="1"/>
  <c r="H13" i="8" s="1"/>
  <c r="G27" i="7"/>
  <c r="E38" i="7" l="1"/>
  <c r="L38" i="7" s="1"/>
  <c r="I15" i="15"/>
  <c r="H20" i="8"/>
  <c r="J24" i="8" s="1"/>
  <c r="G41" i="7"/>
  <c r="G44" i="7" s="1"/>
  <c r="E41" i="7" l="1"/>
  <c r="E44" i="7" s="1"/>
  <c r="E17" i="8" s="1"/>
  <c r="E20" i="8" s="1"/>
  <c r="M26" i="15" s="1"/>
  <c r="G17" i="8"/>
  <c r="G20" i="8" s="1"/>
  <c r="J20" i="8" s="1"/>
  <c r="K44" i="7"/>
  <c r="I17" i="15"/>
  <c r="M17" i="15" s="1"/>
  <c r="L20" i="15"/>
  <c r="M23" i="15" s="1"/>
  <c r="K22" i="8" l="1"/>
  <c r="S30" i="16"/>
  <c r="S32" i="16" s="1"/>
  <c r="I24" i="8"/>
  <c r="K24" i="8" s="1"/>
  <c r="I33" i="15"/>
  <c r="J33"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 Barclay</author>
  </authors>
  <commentList>
    <comment ref="D13" authorId="0" shapeId="0" xr:uid="{F736D452-CBCD-4E2E-B889-D51EA35FC6CB}">
      <text>
        <r>
          <rPr>
            <b/>
            <sz val="9"/>
            <color indexed="81"/>
            <rFont val="Tahoma"/>
            <charset val="1"/>
          </rPr>
          <t>Robert Barclay:</t>
        </r>
        <r>
          <rPr>
            <sz val="9"/>
            <color indexed="81"/>
            <rFont val="Tahoma"/>
            <charset val="1"/>
          </rPr>
          <t xml:space="preserve">
Rounding of -.04p</t>
        </r>
      </text>
    </comment>
    <comment ref="Q20" authorId="0" shapeId="0" xr:uid="{AB66BF87-39CF-482E-BDF9-4DC7B4A61BA5}">
      <text>
        <r>
          <rPr>
            <b/>
            <sz val="9"/>
            <color indexed="81"/>
            <rFont val="Tahoma"/>
            <charset val="1"/>
          </rPr>
          <t>Robert Barclay:</t>
        </r>
        <r>
          <rPr>
            <sz val="9"/>
            <color indexed="81"/>
            <rFont val="Tahoma"/>
            <charset val="1"/>
          </rPr>
          <t xml:space="preserve">
adjustment to square opening reserves with Main RBS A/c</t>
        </r>
      </text>
    </comment>
    <comment ref="D22" authorId="0" shapeId="0" xr:uid="{00985613-6236-4054-B464-9A498194D286}">
      <text>
        <r>
          <rPr>
            <b/>
            <sz val="9"/>
            <color indexed="81"/>
            <rFont val="Tahoma"/>
            <family val="2"/>
          </rPr>
          <t>Robert Barclay:</t>
        </r>
        <r>
          <rPr>
            <sz val="9"/>
            <color indexed="81"/>
            <rFont val="Tahoma"/>
            <family val="2"/>
          </rPr>
          <t xml:space="preserve">
Rounding +.1</t>
        </r>
      </text>
    </comment>
    <comment ref="E23" authorId="0" shapeId="0" xr:uid="{ABE40853-C6A7-41B9-84A6-FA147CE658AA}">
      <text>
        <r>
          <rPr>
            <b/>
            <sz val="9"/>
            <color indexed="81"/>
            <rFont val="Tahoma"/>
            <family val="2"/>
          </rPr>
          <t>Robert Barclay:</t>
        </r>
        <r>
          <rPr>
            <sz val="9"/>
            <color indexed="81"/>
            <rFont val="Tahoma"/>
            <family val="2"/>
          </rPr>
          <t xml:space="preserve">
£3.12 added to agree Guild report of balance as a/cs opening lower than Guild
</t>
        </r>
      </text>
    </comment>
    <comment ref="E24" authorId="0" shapeId="0" xr:uid="{648C705E-674A-48F4-B193-0685F9F442A2}">
      <text>
        <r>
          <rPr>
            <b/>
            <sz val="9"/>
            <color indexed="81"/>
            <rFont val="Tahoma"/>
            <family val="2"/>
          </rPr>
          <t>Robert Barclay:</t>
        </r>
        <r>
          <rPr>
            <sz val="9"/>
            <color indexed="81"/>
            <rFont val="Tahoma"/>
            <family val="2"/>
          </rPr>
          <t xml:space="preserve">
6p
 added to agree Jam report of balance as a/cs opening lower than Guild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Robert Barclay</author>
  </authors>
  <commentList>
    <comment ref="G14" authorId="0" shapeId="0" xr:uid="{4F8B53DF-1FE7-45F6-BC4D-832E716EC83C}">
      <text>
        <r>
          <rPr>
            <b/>
            <sz val="9"/>
            <color indexed="81"/>
            <rFont val="Tahoma"/>
            <family val="2"/>
          </rPr>
          <t>Robert Barclay:</t>
        </r>
        <r>
          <rPr>
            <sz val="9"/>
            <color indexed="81"/>
            <rFont val="Tahoma"/>
            <family val="2"/>
          </rPr>
          <t xml:space="preserve">
Rounding of -.10p</t>
        </r>
      </text>
    </comment>
    <comment ref="L73" authorId="0" shapeId="0" xr:uid="{C4AEA3FA-1AF2-4602-B563-AD00B15FFFE0}">
      <text>
        <r>
          <rPr>
            <b/>
            <sz val="9"/>
            <color indexed="81"/>
            <rFont val="Tahoma"/>
            <family val="2"/>
          </rPr>
          <t>Robert Barclay:</t>
        </r>
        <r>
          <rPr>
            <sz val="9"/>
            <color indexed="81"/>
            <rFont val="Tahoma"/>
            <family val="2"/>
          </rPr>
          <t xml:space="preserve">
incl Insurance Claim of £554.80
</t>
        </r>
      </text>
    </comment>
    <comment ref="N75" authorId="0" shapeId="0" xr:uid="{9FF03958-643E-43F7-8F77-26C5432E08D8}">
      <text>
        <r>
          <rPr>
            <b/>
            <sz val="9"/>
            <color indexed="81"/>
            <rFont val="Tahoma"/>
            <family val="2"/>
          </rPr>
          <t>Robert Barclay:</t>
        </r>
        <r>
          <rPr>
            <sz val="9"/>
            <color indexed="81"/>
            <rFont val="Tahoma"/>
            <family val="2"/>
          </rPr>
          <t xml:space="preserve">
excludes £600 donation to church which is treated as transfer</t>
        </r>
      </text>
    </comment>
    <comment ref="E79" authorId="0" shapeId="0" xr:uid="{18A71512-AEFA-49CA-BCD0-60870508F4F5}">
      <text>
        <r>
          <rPr>
            <b/>
            <sz val="9"/>
            <color indexed="81"/>
            <rFont val="Tahoma"/>
            <family val="2"/>
          </rPr>
          <t>Robert Barclay:</t>
        </r>
        <r>
          <rPr>
            <sz val="9"/>
            <color indexed="81"/>
            <rFont val="Tahoma"/>
            <family val="2"/>
          </rPr>
          <t xml:space="preserve">
Rounding +.1</t>
        </r>
      </text>
    </comment>
    <comment ref="H118" authorId="0" shapeId="0" xr:uid="{E68E8D92-7881-4128-AF10-03A919419E84}">
      <text>
        <r>
          <rPr>
            <b/>
            <sz val="9"/>
            <color indexed="81"/>
            <rFont val="Tahoma"/>
            <charset val="1"/>
          </rPr>
          <t>Robert Barclay:</t>
        </r>
        <r>
          <rPr>
            <sz val="9"/>
            <color indexed="81"/>
            <rFont val="Tahoma"/>
            <charset val="1"/>
          </rPr>
          <t xml:space="preserve">
Rounding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Robert Barclay</author>
  </authors>
  <commentList>
    <comment ref="E39" authorId="0" shapeId="0" xr:uid="{5D4C71E7-4D48-4100-8408-4ADF9BB77A2F}">
      <text>
        <r>
          <rPr>
            <b/>
            <sz val="9"/>
            <color indexed="81"/>
            <rFont val="Tahoma"/>
            <charset val="1"/>
          </rPr>
          <t>Robert Barclay:</t>
        </r>
        <r>
          <rPr>
            <sz val="9"/>
            <color indexed="81"/>
            <rFont val="Tahoma"/>
            <charset val="1"/>
          </rPr>
          <t xml:space="preserve">
DEC £250 + LHM £300</t>
        </r>
      </text>
    </comment>
    <comment ref="H39" authorId="0" shapeId="0" xr:uid="{7A77A758-0B4D-44DD-AB61-047CBAB2567B}">
      <text>
        <r>
          <rPr>
            <b/>
            <sz val="9"/>
            <color indexed="81"/>
            <rFont val="Tahoma"/>
            <charset val="1"/>
          </rPr>
          <t>Robert Barclay:</t>
        </r>
        <r>
          <rPr>
            <sz val="9"/>
            <color indexed="81"/>
            <rFont val="Tahoma"/>
            <charset val="1"/>
          </rPr>
          <t xml:space="preserve">
Moderator's Challenge</t>
        </r>
      </text>
    </comment>
    <comment ref="K39" authorId="0" shapeId="0" xr:uid="{FAE2C94F-B7A2-4912-B84F-CCF2AA042D7F}">
      <text>
        <r>
          <rPr>
            <b/>
            <sz val="9"/>
            <color indexed="81"/>
            <rFont val="Tahoma"/>
            <charset val="1"/>
          </rPr>
          <t>Robert Barclay:</t>
        </r>
        <r>
          <rPr>
            <sz val="9"/>
            <color indexed="81"/>
            <rFont val="Tahoma"/>
            <charset val="1"/>
          </rPr>
          <t xml:space="preserve">
Myanmar</t>
        </r>
      </text>
    </comment>
    <comment ref="P39" authorId="0" shapeId="0" xr:uid="{009D7CD7-9F8F-41F2-BE33-AD93E4AD766A}">
      <text>
        <r>
          <rPr>
            <b/>
            <sz val="9"/>
            <color indexed="81"/>
            <rFont val="Tahoma"/>
            <charset val="1"/>
          </rPr>
          <t>Robert Barclay:</t>
        </r>
        <r>
          <rPr>
            <sz val="9"/>
            <color indexed="81"/>
            <rFont val="Tahoma"/>
            <charset val="1"/>
          </rPr>
          <t xml:space="preserve">
Mission Africa</t>
        </r>
      </text>
    </comment>
    <comment ref="E40" authorId="0" shapeId="0" xr:uid="{218A5997-3C70-4D7C-934C-2609EBF4357A}">
      <text>
        <r>
          <rPr>
            <b/>
            <sz val="9"/>
            <color indexed="81"/>
            <rFont val="Tahoma"/>
            <charset val="1"/>
          </rPr>
          <t>Robert Barclay:</t>
        </r>
        <r>
          <rPr>
            <sz val="9"/>
            <color indexed="81"/>
            <rFont val="Tahoma"/>
            <charset val="1"/>
          </rPr>
          <t xml:space="preserve">
DEC £250 + LHM £300</t>
        </r>
      </text>
    </comment>
    <comment ref="H40" authorId="0" shapeId="0" xr:uid="{0962DD7C-8CA1-4084-B2BA-5E16A91B9759}">
      <text>
        <r>
          <rPr>
            <b/>
            <sz val="9"/>
            <color indexed="81"/>
            <rFont val="Tahoma"/>
            <charset val="1"/>
          </rPr>
          <t>Robert Barclay:</t>
        </r>
        <r>
          <rPr>
            <sz val="9"/>
            <color indexed="81"/>
            <rFont val="Tahoma"/>
            <charset val="1"/>
          </rPr>
          <t xml:space="preserve">
Moderator's Challenge</t>
        </r>
      </text>
    </comment>
    <comment ref="K40" authorId="0" shapeId="0" xr:uid="{8C5C0AF2-40AA-4BC0-8C7A-E3D008F9F199}">
      <text>
        <r>
          <rPr>
            <b/>
            <sz val="9"/>
            <color indexed="81"/>
            <rFont val="Tahoma"/>
            <charset val="1"/>
          </rPr>
          <t>Robert Barclay:</t>
        </r>
        <r>
          <rPr>
            <sz val="9"/>
            <color indexed="81"/>
            <rFont val="Tahoma"/>
            <charset val="1"/>
          </rPr>
          <t xml:space="preserve">
Myanmar</t>
        </r>
      </text>
    </comment>
    <comment ref="P40" authorId="0" shapeId="0" xr:uid="{57064B3F-C910-42DC-AE98-EBED9BED7A89}">
      <text>
        <r>
          <rPr>
            <b/>
            <sz val="9"/>
            <color indexed="81"/>
            <rFont val="Tahoma"/>
            <charset val="1"/>
          </rPr>
          <t>Robert Barclay:</t>
        </r>
        <r>
          <rPr>
            <sz val="9"/>
            <color indexed="81"/>
            <rFont val="Tahoma"/>
            <charset val="1"/>
          </rPr>
          <t xml:space="preserve">
payment to LHM in January + Erskine and Poppy</t>
        </r>
      </text>
    </comment>
    <comment ref="F77" authorId="0" shapeId="0" xr:uid="{B98F1995-B1F6-43D8-A7B1-3250FA0788A5}">
      <text>
        <r>
          <rPr>
            <b/>
            <sz val="9"/>
            <color indexed="81"/>
            <rFont val="Tahoma"/>
            <family val="2"/>
          </rPr>
          <t>Robert Barclay:</t>
        </r>
        <r>
          <rPr>
            <sz val="9"/>
            <color indexed="81"/>
            <rFont val="Tahoma"/>
            <family val="2"/>
          </rPr>
          <t xml:space="preserve">
Guild</t>
        </r>
      </text>
    </comment>
    <comment ref="F78" authorId="0" shapeId="0" xr:uid="{A366FE1D-DA7B-42B2-AF9A-7A5CEC2615D3}">
      <text>
        <r>
          <rPr>
            <b/>
            <sz val="9"/>
            <color indexed="81"/>
            <rFont val="Tahoma"/>
            <family val="2"/>
          </rPr>
          <t>Robert Barclay:</t>
        </r>
        <r>
          <rPr>
            <sz val="9"/>
            <color indexed="81"/>
            <rFont val="Tahoma"/>
            <family val="2"/>
          </rPr>
          <t xml:space="preserve">
LHM</t>
        </r>
      </text>
    </comment>
    <comment ref="G78" authorId="0" shapeId="0" xr:uid="{AECAC004-2D61-4F89-A77E-110B9EE1266E}">
      <text>
        <r>
          <rPr>
            <b/>
            <sz val="9"/>
            <color indexed="81"/>
            <rFont val="Tahoma"/>
            <family val="2"/>
          </rPr>
          <t>Robert Barclay:</t>
        </r>
        <r>
          <rPr>
            <sz val="9"/>
            <color indexed="81"/>
            <rFont val="Tahoma"/>
            <family val="2"/>
          </rPr>
          <t xml:space="preserve">
Moderator's challenge</t>
        </r>
      </text>
    </comment>
    <comment ref="H78" authorId="0" shapeId="0" xr:uid="{8421BE9E-7B8D-4AB4-A8E2-4332128A5F9A}">
      <text>
        <r>
          <rPr>
            <b/>
            <sz val="9"/>
            <color indexed="81"/>
            <rFont val="Tahoma"/>
            <family val="2"/>
          </rPr>
          <t>Robert Barclay:</t>
        </r>
        <r>
          <rPr>
            <sz val="9"/>
            <color indexed="81"/>
            <rFont val="Tahoma"/>
            <family val="2"/>
          </rPr>
          <t xml:space="preserve">
Moderator's challenge</t>
        </r>
      </text>
    </comment>
    <comment ref="I78" authorId="0" shapeId="0" xr:uid="{F375B15A-F4D6-4FC6-A31B-BDC5F2074964}">
      <text>
        <r>
          <rPr>
            <b/>
            <sz val="9"/>
            <color indexed="81"/>
            <rFont val="Tahoma"/>
            <family val="2"/>
          </rPr>
          <t>Robert Barclay:</t>
        </r>
        <r>
          <rPr>
            <sz val="9"/>
            <color indexed="81"/>
            <rFont val="Tahoma"/>
            <family val="2"/>
          </rPr>
          <t xml:space="preserve">
Myanmar</t>
        </r>
      </text>
    </comment>
    <comment ref="P78" authorId="0" shapeId="0" xr:uid="{12B4E0C5-574C-43F7-B9F7-1E2B7454D235}">
      <text>
        <r>
          <rPr>
            <b/>
            <sz val="9"/>
            <color indexed="81"/>
            <rFont val="Tahoma"/>
            <family val="2"/>
          </rPr>
          <t>Robert Barclay:</t>
        </r>
        <r>
          <rPr>
            <sz val="9"/>
            <color indexed="81"/>
            <rFont val="Tahoma"/>
            <family val="2"/>
          </rPr>
          <t xml:space="preserve">
LHM cash per sheet + £20 to agree with payment in January</t>
        </r>
      </text>
    </comment>
    <comment ref="F79" authorId="0" shapeId="0" xr:uid="{7B0A52FC-1E08-47EF-8B7D-C2158F03A93D}">
      <text>
        <r>
          <rPr>
            <b/>
            <sz val="9"/>
            <color indexed="81"/>
            <rFont val="Tahoma"/>
            <charset val="1"/>
          </rPr>
          <t>Robert Barclay:</t>
        </r>
        <r>
          <rPr>
            <sz val="9"/>
            <color indexed="81"/>
            <rFont val="Tahoma"/>
            <charset val="1"/>
          </rPr>
          <t xml:space="preserve">
DEC (amount paid</t>
        </r>
      </text>
    </comment>
    <comment ref="I79" authorId="0" shapeId="0" xr:uid="{C8EE1DE3-733F-4827-A9F5-88AAB4EBFDA3}">
      <text>
        <r>
          <rPr>
            <b/>
            <sz val="9"/>
            <color indexed="81"/>
            <rFont val="Tahoma"/>
            <charset val="1"/>
          </rPr>
          <t>Robert Barclay:</t>
        </r>
        <r>
          <rPr>
            <sz val="9"/>
            <color indexed="81"/>
            <rFont val="Tahoma"/>
            <charset val="1"/>
          </rPr>
          <t xml:space="preserve">
addl Myanmar to agree with payment</t>
        </r>
      </text>
    </comment>
    <comment ref="P79" authorId="0" shapeId="0" xr:uid="{95DF64B1-79BA-46F0-928C-60E83FC79EFE}">
      <text>
        <r>
          <rPr>
            <b/>
            <sz val="9"/>
            <color indexed="81"/>
            <rFont val="Tahoma"/>
            <family val="2"/>
          </rPr>
          <t>Robert Barclay:</t>
        </r>
        <r>
          <rPr>
            <sz val="9"/>
            <color indexed="81"/>
            <rFont val="Tahoma"/>
            <family val="2"/>
          </rPr>
          <t xml:space="preserve">
Erskine/Poppy
</t>
        </r>
      </text>
    </comment>
  </commentList>
</comments>
</file>

<file path=xl/sharedStrings.xml><?xml version="1.0" encoding="utf-8"?>
<sst xmlns="http://schemas.openxmlformats.org/spreadsheetml/2006/main" count="771" uniqueCount="416">
  <si>
    <t xml:space="preserve">Reference and Administrative Information </t>
  </si>
  <si>
    <t>Charity Name:</t>
  </si>
  <si>
    <t>Charity Registration Number:</t>
  </si>
  <si>
    <t xml:space="preserve">Congregation Reference Number: </t>
  </si>
  <si>
    <t>Contact Address</t>
  </si>
  <si>
    <t>Trustees</t>
  </si>
  <si>
    <t>List all trustees who served  during the year up to date of signing the accounts</t>
  </si>
  <si>
    <t>Kirk Session Members</t>
  </si>
  <si>
    <t>List Kirk Session members separately from Congrgational Board Members</t>
  </si>
  <si>
    <t>Session Clerk:</t>
  </si>
  <si>
    <t>Church Treasurer:</t>
  </si>
  <si>
    <t xml:space="preserve">Bankers: </t>
  </si>
  <si>
    <t>Governing Document</t>
  </si>
  <si>
    <t>Recruitment and Appointment of Trustees</t>
  </si>
  <si>
    <t>Organisational Structure</t>
  </si>
  <si>
    <t>Objectives and Activities</t>
  </si>
  <si>
    <t>Achievements and Performance</t>
  </si>
  <si>
    <t>Financial Review</t>
  </si>
  <si>
    <t>Reserves Policy</t>
  </si>
  <si>
    <t>Statement of Trustees' Responsibilities</t>
  </si>
  <si>
    <t>Respective responsibilities of trustees and examiner</t>
  </si>
  <si>
    <t>Name:</t>
  </si>
  <si>
    <t>Address:</t>
  </si>
  <si>
    <t>Date:</t>
  </si>
  <si>
    <t>Receipts and Payments Account</t>
  </si>
  <si>
    <t>Total</t>
  </si>
  <si>
    <t>Funds</t>
  </si>
  <si>
    <t>Endowment</t>
  </si>
  <si>
    <t>Unrestricted</t>
  </si>
  <si>
    <t>Restricted</t>
  </si>
  <si>
    <t>Note</t>
  </si>
  <si>
    <t>Receipts</t>
  </si>
  <si>
    <t>Donations</t>
  </si>
  <si>
    <t>Legacies</t>
  </si>
  <si>
    <t>Bank &amp; Deposit Interest</t>
  </si>
  <si>
    <t>Investment Income</t>
  </si>
  <si>
    <t>Rental of Premises</t>
  </si>
  <si>
    <t>Other Receipts</t>
  </si>
  <si>
    <t>Total Receipts</t>
  </si>
  <si>
    <t>Payments</t>
  </si>
  <si>
    <t>Charitable Activities</t>
  </si>
  <si>
    <t>Governance Costs</t>
  </si>
  <si>
    <t>Total Payments</t>
  </si>
  <si>
    <t>Excess of Receipts over Payments</t>
  </si>
  <si>
    <t>for the year before transfers</t>
  </si>
  <si>
    <t>Transfers</t>
  </si>
  <si>
    <t>Statement of Balances</t>
  </si>
  <si>
    <t>Bank and Deposit Balances</t>
  </si>
  <si>
    <t>Bank and deposit balances</t>
  </si>
  <si>
    <t>Movement in year:</t>
  </si>
  <si>
    <t xml:space="preserve">Excess of Receipts over </t>
  </si>
  <si>
    <t>Investments at market value</t>
  </si>
  <si>
    <t>Assets</t>
  </si>
  <si>
    <t>Gift Aid Receivable</t>
  </si>
  <si>
    <t>Liabilities</t>
  </si>
  <si>
    <t>Session Clerk</t>
  </si>
  <si>
    <t>Notes forming part of the accounts</t>
  </si>
  <si>
    <t>Basis of Accounting</t>
  </si>
  <si>
    <t>Unrestricted funds</t>
  </si>
  <si>
    <t>General Fund</t>
  </si>
  <si>
    <t>Restricted funds</t>
  </si>
  <si>
    <t>Benevolent Fund</t>
  </si>
  <si>
    <t>Total Funds</t>
  </si>
  <si>
    <t>Analysis of Donations</t>
  </si>
  <si>
    <t>Analysis of Payments</t>
  </si>
  <si>
    <t>Cost of Generating funds</t>
  </si>
  <si>
    <t>Offering envelopes</t>
  </si>
  <si>
    <t>Presbytery Dues</t>
  </si>
  <si>
    <t>Insurance</t>
  </si>
  <si>
    <t>Church Office Expenses</t>
  </si>
  <si>
    <t>Other expenses</t>
  </si>
  <si>
    <t>Other Payments</t>
  </si>
  <si>
    <t>Trustee Remuneration and Related Party Transactions</t>
  </si>
  <si>
    <t>Minister's Stipend</t>
  </si>
  <si>
    <t>Investments</t>
  </si>
  <si>
    <t xml:space="preserve">Market </t>
  </si>
  <si>
    <t>Value at</t>
  </si>
  <si>
    <t>I Jan</t>
  </si>
  <si>
    <t>Purchases</t>
  </si>
  <si>
    <t>Disposals</t>
  </si>
  <si>
    <t>on</t>
  </si>
  <si>
    <t>Gain/(Loss)</t>
  </si>
  <si>
    <t>Revaluation</t>
  </si>
  <si>
    <t>3I Dec</t>
  </si>
  <si>
    <t>Lodging House Mission</t>
  </si>
  <si>
    <t>Earl Haig Poppy Fund</t>
  </si>
  <si>
    <t>The Guild</t>
  </si>
  <si>
    <t>Appendix</t>
  </si>
  <si>
    <t>FUNDS HELD ON BEHALF OF THE CONGREGATION</t>
  </si>
  <si>
    <t>BY THE CHURCH OF SCOTLAND GENERAL TRUSTEES</t>
  </si>
  <si>
    <t>CAPITAL ACCOUNT</t>
  </si>
  <si>
    <t>Credit Balances held at 31 December at cost</t>
  </si>
  <si>
    <t>Market Value of Balances at 31 December</t>
  </si>
  <si>
    <t>REVENUE ACCOUNT</t>
  </si>
  <si>
    <t>Credit Balance at 31 December</t>
  </si>
  <si>
    <t>(The contact address shown should be the same as that held by OSCR)</t>
  </si>
  <si>
    <t xml:space="preserve">Where a Kirk session member is also a Board member then that person need </t>
  </si>
  <si>
    <t>At 1 Jan</t>
  </si>
  <si>
    <t>At 31 Dec</t>
  </si>
  <si>
    <t>Trustees' Annual Report</t>
  </si>
  <si>
    <t>Principal Office-bearers</t>
  </si>
  <si>
    <t xml:space="preserve">Charitable Activities                      </t>
  </si>
  <si>
    <t xml:space="preserve">Assets &amp; Investments   </t>
  </si>
  <si>
    <t xml:space="preserve">£ </t>
  </si>
  <si>
    <t>No trustee or person related to a trustee had any personal interest in any contract or transaction entered into by the charity during the year.</t>
  </si>
  <si>
    <t>5</t>
  </si>
  <si>
    <t>6</t>
  </si>
  <si>
    <t>7</t>
  </si>
  <si>
    <t>Collections for Third Parties</t>
  </si>
  <si>
    <t>Independent Examiner's Fee</t>
  </si>
  <si>
    <t>Purchase of Fixed Assets</t>
  </si>
  <si>
    <t>Designated Fabric Fund</t>
  </si>
  <si>
    <t>----------</t>
  </si>
  <si>
    <t>The Sunday School</t>
  </si>
  <si>
    <t>Endowment funds</t>
  </si>
  <si>
    <t>======</t>
  </si>
  <si>
    <t>1</t>
  </si>
  <si>
    <t>2</t>
  </si>
  <si>
    <t>3</t>
  </si>
  <si>
    <t>4</t>
  </si>
  <si>
    <t>Tax Recovered on Gift Aid Dons.</t>
  </si>
  <si>
    <t>Other Offerings, Donations, etc</t>
  </si>
  <si>
    <t xml:space="preserve">======  </t>
  </si>
  <si>
    <t xml:space="preserve">----------  </t>
  </si>
  <si>
    <t xml:space="preserve">------------  </t>
  </si>
  <si>
    <t>Drawn down from General Trustees</t>
  </si>
  <si>
    <t>Cost of Generating Funds</t>
  </si>
  <si>
    <t xml:space="preserve">=======  </t>
  </si>
  <si>
    <t xml:space="preserve">========  </t>
  </si>
  <si>
    <t>Basis of independent examiner’s statement</t>
  </si>
  <si>
    <t>Independent examiner’s statement</t>
  </si>
  <si>
    <t>1.</t>
  </si>
  <si>
    <t xml:space="preserve">which gives me reasonable cause to believe that in any material respect the requirements: </t>
  </si>
  <si>
    <t>2.</t>
  </si>
  <si>
    <t>to which, in my opinion, attention should be drawn in order to enable a proper understanding of the accounts to be reached.</t>
  </si>
  <si>
    <t xml:space="preserve">* </t>
  </si>
  <si>
    <r>
      <t xml:space="preserve">In the course of my examination, no matter has come to my attention </t>
    </r>
    <r>
      <rPr>
        <i/>
        <sz val="11"/>
        <rFont val="Calibri"/>
        <family val="2"/>
        <scheme val="minor"/>
      </rPr>
      <t>[other than disclosed below*]</t>
    </r>
  </si>
  <si>
    <r>
      <t></t>
    </r>
    <r>
      <rPr>
        <sz val="11"/>
        <rFont val="Calibri"/>
        <family val="2"/>
      </rPr>
      <t>●</t>
    </r>
  </si>
  <si>
    <t>The charity trustees consider that the audit requirement of Regulation 10(1)(d) of the Accounts Regulations does not apply.  It is my responsibility to examine the accounts as required under section 44(1)(c) of the Act and to state whether particular matters have come to my attention.</t>
  </si>
  <si>
    <t xml:space="preserve">The charity's trustees are responsible for the preparation of the accounts in accordance with the terms of the Charities and Trustee Investment (Scotland) Act 2005 and the Charities Accounts (Scotland) Regulations 2006 (as amended).
</t>
  </si>
  <si>
    <t>An examination is carried out in accordance with Regulation 11 of the Charities Accounts (Scotland) Regulations 2006 (as amended).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view given by the accounts.</t>
  </si>
  <si>
    <t>to keep accounting records in accordance with Section 44 (1)(a) of the 2005 Act and Regulation 4 of the 2006  Accounts Regulations (as amended), and</t>
  </si>
  <si>
    <t>to prepare accounts which accord with the accounting records and comply with Regulation 9 of the 2006 Accounts Regulations (as amended) have not been met, or</t>
  </si>
  <si>
    <t>Held in respect of:</t>
  </si>
  <si>
    <t>Unrestricted Funds</t>
  </si>
  <si>
    <t>Endowments Funds</t>
  </si>
  <si>
    <t>========</t>
  </si>
  <si>
    <t>=======</t>
  </si>
  <si>
    <t>------------</t>
  </si>
  <si>
    <t>-------------</t>
  </si>
  <si>
    <t>-----------</t>
  </si>
  <si>
    <t>These accounts have been prepared on the Receipts &amp; Payments basis in accordance with the Charities and Trustee Investment (Scotland) Act 2005, The Charities Accounts (Scotland) Regulations 2006 (as amended) and the Regulations anent Congregational Finance approved by the General Assembly of the Church of Scotland in 2016.</t>
  </si>
  <si>
    <t>Movement in Funds</t>
  </si>
  <si>
    <t xml:space="preserve">---------  </t>
  </si>
  <si>
    <t xml:space="preserve">=====  </t>
  </si>
  <si>
    <t>The Church of Scotland is Trinitarian in doctrine, Reformed in tradition and Presbyterian in polity.  It exists to glorify God and to work for the advancement of Christ’s Kingdom throughout the world.  As a national Church, it acknowledges a distinctive call and duty to bring the ordinances of religion to the people in every parish of Scotland through a territorial ministry.  It co-operates with other Churches in various ecumenical bodies in Scotland and beyond.</t>
  </si>
  <si>
    <t>(Again give details relevant to the individual congregation e.g. attendance at events, groups etc, new activities commenced during the year, innovations in worship.  These should be non-finance related as this will be covered in next section.)</t>
  </si>
  <si>
    <t>The Trustees must prepare financial statements which give sufficient detail to enable an appreciation of the transactions of the Church during the financial year.  The Trustees are responsible for keeping proper accounting records which, on request, must reflect the financial position of the Church at that time.  This must be done to ensure that the financial statements comply with the Charities and Trustee Investment (Scotland) Act 2005, the Charities Accounts (Scotland) Regulations 2006 (as amended) and the Regulations Anent Congregational Finance approved by the General Assembly of the Church of Scotland in 2016.  They are also responsible for safeguarding the assets of the Church and must take reasonable steps for the prevention and/or detection of fraud and other irregularities.</t>
  </si>
  <si>
    <t xml:space="preserve">only be listed once but indicate member of Board.  </t>
  </si>
  <si>
    <t>Structure, Governance and Management</t>
  </si>
  <si>
    <r>
      <rPr>
        <b/>
        <sz val="12"/>
        <color indexed="8"/>
        <rFont val="Calibri"/>
        <family val="2"/>
        <scheme val="minor"/>
      </rPr>
      <t>Independent Examiner</t>
    </r>
    <r>
      <rPr>
        <sz val="12"/>
        <color indexed="8"/>
        <rFont val="Calibri"/>
        <family val="2"/>
        <scheme val="minor"/>
      </rPr>
      <t xml:space="preserve"> </t>
    </r>
  </si>
  <si>
    <t>(Name &amp; address should be given)</t>
  </si>
  <si>
    <t>Address should be given</t>
  </si>
  <si>
    <t>brought forward</t>
  </si>
  <si>
    <t>carried forward</t>
  </si>
  <si>
    <t>enter payments as negatives</t>
  </si>
  <si>
    <t>Receipts and Payments Accounts</t>
  </si>
  <si>
    <t>This section should be amended as appropriate.</t>
  </si>
  <si>
    <t>all bank figures should flow through from notes / R&amp;P A/c</t>
  </si>
  <si>
    <t>adjust as appropriate</t>
  </si>
  <si>
    <t>list as appropriate</t>
  </si>
  <si>
    <t>See SORP sample accounts if Unitary Constitution</t>
  </si>
  <si>
    <t>put year in D8 and it will spin through accounts</t>
  </si>
  <si>
    <t>enter name of church</t>
  </si>
  <si>
    <t>enter No</t>
  </si>
  <si>
    <t>will also enter in TAR</t>
  </si>
  <si>
    <t>will also enter in TAR and IER</t>
  </si>
  <si>
    <t>will also enter on all pages</t>
  </si>
  <si>
    <t>date will be pulled in from D8 on R&amp;P Account</t>
  </si>
  <si>
    <t>Guidance Notes</t>
  </si>
  <si>
    <t>The workbook has been built to work as a protected one so that formulae which have been set up will not be accidentally overwritten.</t>
  </si>
  <si>
    <t>Otherwise cells are locked</t>
  </si>
  <si>
    <t>Protection</t>
  </si>
  <si>
    <t>Group</t>
  </si>
  <si>
    <t>adjust page numbers as appropriate</t>
  </si>
  <si>
    <t xml:space="preserve">Please delete the words in brackets if they do not apply. </t>
  </si>
  <si>
    <t xml:space="preserve"> If the words do apply set out those matters which have come to your attention.</t>
  </si>
  <si>
    <t>Page Numbering</t>
  </si>
  <si>
    <t>The sheets have page numbers set up in footers (excluding the cover which is not numbered)  Done in Print Titles in Page Layout menu.</t>
  </si>
  <si>
    <t>If only printing 1 sheet the numbering will start at 1.  However, if you print the whole workbook the numbering will be continuous (1 to 11 for basic model and will adjust if you write a lot in let's say the Trustees Report)</t>
  </si>
  <si>
    <t>Page Headings for printing</t>
  </si>
  <si>
    <t>The Trustees Report and Notes to Accounts sheets which will normally take more than one page have the first 5 rows set up to repeat at the top of each page using Print Titles and the print area therefore starts at line 6.</t>
  </si>
  <si>
    <t>Print Areas</t>
  </si>
  <si>
    <t>It will of course be necessary from time to time to change a locked cell or insert additional lines and in that event the sheet should be unprotected, the necessary change made and the sheet returned to protected status.   Inserted lines adopt a default setting equivalent to the line above the insertion.</t>
  </si>
  <si>
    <t>Sum formulae</t>
  </si>
  <si>
    <t>This includes lines at the bottom of a column as the formulae has been set up to include the cell with the underline</t>
  </si>
  <si>
    <r>
      <rPr>
        <b/>
        <sz val="11"/>
        <color theme="1"/>
        <rFont val="Calibri"/>
        <family val="2"/>
        <scheme val="minor"/>
      </rPr>
      <t>However</t>
    </r>
    <r>
      <rPr>
        <sz val="11"/>
        <color theme="1"/>
        <rFont val="Calibri"/>
        <family val="2"/>
        <scheme val="minor"/>
      </rPr>
      <t xml:space="preserve">, they will </t>
    </r>
    <r>
      <rPr>
        <b/>
        <sz val="11"/>
        <color theme="1"/>
        <rFont val="Calibri"/>
        <family val="2"/>
        <scheme val="minor"/>
      </rPr>
      <t>not</t>
    </r>
    <r>
      <rPr>
        <sz val="11"/>
        <color theme="1"/>
        <rFont val="Calibri"/>
        <family val="2"/>
        <scheme val="minor"/>
      </rPr>
      <t xml:space="preserve"> expand to catch a line added at the top of a column.  So if this is done you will need to adjust the formulae</t>
    </r>
  </si>
  <si>
    <t>Cells are either locked or unlocked and the status of a cell can be seen and changed in the Protection Section of Format in the Home menu.  First unprotect sheet, then lock or unlock cell(s) as desired and reprotect sheet.</t>
  </si>
  <si>
    <t>The workbook is already set up with cells unlocked where it is anticipated that the user may want to enter figures or edit a narrative.</t>
  </si>
  <si>
    <t>These are all set and it is not anticipated that there will be any need to adjust them.  The setting only covers the actual pages that appear in the accounts  (i.e. it excludes guidance and comments to right of print area).</t>
  </si>
  <si>
    <t>Entering figures</t>
  </si>
  <si>
    <t>closing check</t>
  </si>
  <si>
    <t>to see agrees with Statement of Balances</t>
  </si>
  <si>
    <t>There is a check at note 2 to show if closing balance per Movement in Funds doesn't agree with the Statement of Balances</t>
  </si>
  <si>
    <t>Worksheet basically designed to minimise number of times you enter a figure.  Start with last years figures to ensure opening figures agree.  As well as comparative column means putting closing balances in note 2 into opening column of this year's note</t>
  </si>
  <si>
    <t>Specific guidance, comments etc</t>
  </si>
  <si>
    <t>alternative sample wording re Congregational Board</t>
  </si>
  <si>
    <t>Too many rows ?</t>
  </si>
  <si>
    <t xml:space="preserve">Sum formulae will expand if you insert rows in the middle of them (e.g. =sum(D9:D12) will become =sum(D9:D14) if you insert a new row 10 and 12).  </t>
  </si>
  <si>
    <r>
      <t xml:space="preserve">Where there are rows that are not required it may well be easier to group them (as happens in terms of advice in Trustees Report (noted in </t>
    </r>
    <r>
      <rPr>
        <b/>
        <i/>
        <sz val="11"/>
        <color theme="1"/>
        <rFont val="Calibri"/>
        <family val="2"/>
        <scheme val="minor"/>
      </rPr>
      <t>Group</t>
    </r>
    <r>
      <rPr>
        <sz val="11"/>
        <color theme="1"/>
        <rFont val="Calibri"/>
        <family val="2"/>
        <scheme val="minor"/>
      </rPr>
      <t xml:space="preserve"> above)) rather than delete them with potential for knocking out formulae.</t>
    </r>
  </si>
  <si>
    <t>General Guidance starts at cell A43 below</t>
  </si>
  <si>
    <t>Blank formatted accounts in Receipts and Payments style</t>
  </si>
  <si>
    <t>At various points in the ref info and Trustees Report sheets there is guidance which is hidden by using the Group option in the Data menu.  To see it unprotect the sheet and click on the + sign in the left margin.  When finished, to ensure hidden when printing, click on the - sign and reprotect sheet .  (There won't be a margin unless grouping has been done)</t>
  </si>
  <si>
    <t>Fabric repairs &amp; maintenance</t>
  </si>
  <si>
    <t>Advice on completion of some sections is hidden by using "Group".  To see it unprotect the sheet and click on the + sign in the left margin.  When finished, to ensure hidden when printing, click on the - sign.    Adjust column height to cater for the amount of text you enter and reprotect sheet.</t>
  </si>
  <si>
    <t>uses 2024 stipend figures</t>
  </si>
  <si>
    <t>Congregation No: 160865</t>
  </si>
  <si>
    <t>Charity No: SC009866</t>
  </si>
  <si>
    <t>Sanctuary Development</t>
  </si>
  <si>
    <t>Praise Group</t>
  </si>
  <si>
    <t>Giving to Grow</t>
  </si>
  <si>
    <t>Locum charges/Expenses</t>
  </si>
  <si>
    <t>Charities</t>
  </si>
  <si>
    <t>Telephone</t>
  </si>
  <si>
    <t>Pulpit supply</t>
  </si>
  <si>
    <t>Heat/Light</t>
  </si>
  <si>
    <t>Benevolent</t>
  </si>
  <si>
    <t>Guild expenses</t>
  </si>
  <si>
    <t>Jam Club expenses</t>
  </si>
  <si>
    <t>Purchase of Investments</t>
  </si>
  <si>
    <t>Church boxes</t>
  </si>
  <si>
    <t>Weddings &amp; Funerals</t>
  </si>
  <si>
    <t>Fabric/Fayres/Donations</t>
  </si>
  <si>
    <t>Guild</t>
  </si>
  <si>
    <t>Sunday schools (Jam club)</t>
  </si>
  <si>
    <t>COSIT Income Fund</t>
  </si>
  <si>
    <t>Isabel Wyper Bequest</t>
  </si>
  <si>
    <t>Barbara Munro Bequest</t>
  </si>
  <si>
    <t>Martha Duncan Bequest</t>
  </si>
  <si>
    <t>Fabric Fund</t>
  </si>
  <si>
    <t>Isobel Barrie Fund</t>
  </si>
  <si>
    <t>General Reserve</t>
  </si>
  <si>
    <t>None</t>
  </si>
  <si>
    <t>Purposes of Unrestricted Funds</t>
  </si>
  <si>
    <r>
      <rPr>
        <i/>
        <sz val="11"/>
        <rFont val="Calibri"/>
        <family val="2"/>
        <scheme val="minor"/>
      </rPr>
      <t>Fabric Fund:</t>
    </r>
    <r>
      <rPr>
        <sz val="11"/>
        <rFont val="Calibri"/>
        <family val="2"/>
        <scheme val="minor"/>
      </rPr>
      <t xml:space="preserve"> Set aside for maintenance of Church Property</t>
    </r>
  </si>
  <si>
    <r>
      <rPr>
        <i/>
        <sz val="11"/>
        <rFont val="Calibri"/>
        <family val="2"/>
        <scheme val="minor"/>
      </rPr>
      <t>General Fund</t>
    </r>
    <r>
      <rPr>
        <sz val="11"/>
        <rFont val="Calibri"/>
        <family val="2"/>
        <scheme val="minor"/>
      </rPr>
      <t xml:space="preserve"> - Operating Fund for General Income and Expenses</t>
    </r>
  </si>
  <si>
    <t>Purposes of Restricted Funds</t>
  </si>
  <si>
    <r>
      <rPr>
        <i/>
        <sz val="10"/>
        <rFont val="Times New Roman"/>
        <family val="1"/>
      </rPr>
      <t>Sanctuary Development Fund</t>
    </r>
    <r>
      <rPr>
        <sz val="10"/>
        <rFont val="Times New Roman"/>
        <family val="1"/>
      </rPr>
      <t xml:space="preserve"> - for redevelopment of the Church((sub account in Fabric)</t>
    </r>
  </si>
  <si>
    <r>
      <rPr>
        <i/>
        <sz val="11"/>
        <rFont val="Calibri"/>
        <family val="2"/>
        <scheme val="minor"/>
      </rPr>
      <t>Guild</t>
    </r>
    <r>
      <rPr>
        <sz val="11"/>
        <rFont val="Calibri"/>
        <family val="2"/>
        <scheme val="minor"/>
      </rPr>
      <t xml:space="preserve"> -  Ladies Weekly Meeting during the year.</t>
    </r>
  </si>
  <si>
    <r>
      <rPr>
        <i/>
        <sz val="11"/>
        <rFont val="Calibri"/>
        <family val="2"/>
        <scheme val="minor"/>
      </rPr>
      <t>Sunday School (JAM Club)</t>
    </r>
    <r>
      <rPr>
        <sz val="11"/>
        <rFont val="Calibri"/>
        <family val="2"/>
        <scheme val="minor"/>
      </rPr>
      <t xml:space="preserve"> - JAM meets weekly for younger age groups</t>
    </r>
  </si>
  <si>
    <r>
      <rPr>
        <i/>
        <sz val="11"/>
        <rFont val="Calibri"/>
        <family val="2"/>
        <scheme val="minor"/>
      </rPr>
      <t>Benevolent Fund</t>
    </r>
    <r>
      <rPr>
        <sz val="11"/>
        <rFont val="Calibri"/>
        <family val="2"/>
        <scheme val="minor"/>
      </rPr>
      <t xml:space="preserve"> - Fund to allow assistance to be given to the elderly and those in need</t>
    </r>
  </si>
  <si>
    <r>
      <rPr>
        <i/>
        <sz val="11"/>
        <rFont val="Calibri"/>
        <family val="2"/>
        <scheme val="minor"/>
      </rPr>
      <t>Praise Group</t>
    </r>
    <r>
      <rPr>
        <sz val="11"/>
        <rFont val="Calibri"/>
        <family val="2"/>
        <scheme val="minor"/>
      </rPr>
      <t xml:space="preserve"> -  supports the congregation in singing of hymns</t>
    </r>
  </si>
  <si>
    <t>The income from the Wyper and Munro bequests are credited to the JAM Club.</t>
  </si>
  <si>
    <t>The income from the Martha Duncan bequest is credited to the Praise Group.</t>
  </si>
  <si>
    <t>Erskine Hospital</t>
  </si>
  <si>
    <t>Pakistan Appeal</t>
  </si>
  <si>
    <t>DEC</t>
  </si>
  <si>
    <t>Kilsyth Anderson Church of Scotland</t>
  </si>
  <si>
    <t>Christine Johnston</t>
  </si>
  <si>
    <t>18 Barlandfauld Street</t>
  </si>
  <si>
    <t>Kilsyth</t>
  </si>
  <si>
    <t>G65 OBU</t>
  </si>
  <si>
    <t>Mr. C. Waddell</t>
  </si>
  <si>
    <t xml:space="preserve">Mr. W. McIlwain </t>
  </si>
  <si>
    <t xml:space="preserve">Miss C. Johnston </t>
  </si>
  <si>
    <t xml:space="preserve">Mrs. H. Gordon </t>
  </si>
  <si>
    <t>Mr. J. Weir</t>
  </si>
  <si>
    <t xml:space="preserve">Mr. A. Strang </t>
  </si>
  <si>
    <t xml:space="preserve">Mr. W. Smith </t>
  </si>
  <si>
    <t xml:space="preserve">Mr. I. Ross </t>
  </si>
  <si>
    <t>Mr. W. Shaw</t>
  </si>
  <si>
    <t xml:space="preserve">Miss O Brittian </t>
  </si>
  <si>
    <t xml:space="preserve">Mrs. E. Strang </t>
  </si>
  <si>
    <t xml:space="preserve">Mrs. M. Brown </t>
  </si>
  <si>
    <t xml:space="preserve">Mrs. C. McIlwain </t>
  </si>
  <si>
    <t xml:space="preserve">Mrs. H. Provan </t>
  </si>
  <si>
    <t>Mrs. J. Bateman</t>
  </si>
  <si>
    <t xml:space="preserve">Mrs. D. Barrowman </t>
  </si>
  <si>
    <t>Mrs. J. Ewen</t>
  </si>
  <si>
    <t xml:space="preserve">Mr. G. Ewen </t>
  </si>
  <si>
    <t>Mrs. M. Whitelaw</t>
  </si>
  <si>
    <t>Interim Moderator:</t>
  </si>
  <si>
    <t xml:space="preserve">Mr. Graeme Barrie </t>
  </si>
  <si>
    <t>Miss Christine Johnston</t>
  </si>
  <si>
    <t>Locum</t>
  </si>
  <si>
    <t>Royal Bank of Scot!and</t>
  </si>
  <si>
    <t>116 Cowgate</t>
  </si>
  <si>
    <t>Kirkintilloch</t>
  </si>
  <si>
    <t>Mr. John Haggart</t>
  </si>
  <si>
    <t>5 Victoria Park</t>
  </si>
  <si>
    <t>Kilsyth   G65 9AH</t>
  </si>
  <si>
    <t>Members of the Kirk Session are the charity trustees. The Kirk Session members are the elders of the church and are chosen from those members of the church who are considered to have the appropriate gifts and skills. The minister, who is a member of the Kirk Session, is elected by the congregation and inducted by Presbytery. In a ministerial vacancy, Presbytery appoints an Interim Moderator who is also a trustee.</t>
  </si>
  <si>
    <t xml:space="preserve">The Kirk Session which meets nine times a year is responsible for all affairs within the Church under the Unitary Constitution. The Kirk Session appoints work groups from time to time which consider specific areas such as Mission, Membership, Spiritual Maturity, Worship, Youth, Ministry and Property.
</t>
  </si>
  <si>
    <t>The Church is administered in accordance with the terms of the Unitary Constitution.</t>
  </si>
  <si>
    <t>Funds held as Custodian Trustee</t>
  </si>
  <si>
    <t>(cost - £)</t>
  </si>
  <si>
    <t>Interim Moderator's Expenses</t>
  </si>
  <si>
    <t>John Haggart BA, ACMA</t>
  </si>
  <si>
    <t>new</t>
  </si>
  <si>
    <t>All Church of Scotland congregations contribute to the National Stipend Fund which bears the costs of all ministers' stipends and employer's contributions for national insurance, pension and housing and loan fund.  Stipends are paid in accordance with the national stipend scale, which is related to years of service.  For the year under review, the minimum stipend was £32,433 and the  maximum stipend (in the fifth and subsequent years) was £39,856..</t>
  </si>
  <si>
    <t>The Interim Moderator received £507 in respect of travel expenses.</t>
  </si>
  <si>
    <t>Main RBS A/c</t>
  </si>
  <si>
    <t>Balance at 1/1/25</t>
  </si>
  <si>
    <t>Jan</t>
  </si>
  <si>
    <t>Feb</t>
  </si>
  <si>
    <t>Mar</t>
  </si>
  <si>
    <t>Apr</t>
  </si>
  <si>
    <t>May</t>
  </si>
  <si>
    <t>Jun</t>
  </si>
  <si>
    <t>Jul</t>
  </si>
  <si>
    <t>Aug</t>
  </si>
  <si>
    <t>Sep</t>
  </si>
  <si>
    <t>Oct</t>
  </si>
  <si>
    <t>Nov</t>
  </si>
  <si>
    <t>Dec</t>
  </si>
  <si>
    <t>Marshall</t>
  </si>
  <si>
    <t>BB</t>
  </si>
  <si>
    <t>Gen Res</t>
  </si>
  <si>
    <t>Gen Cong</t>
  </si>
  <si>
    <t>Deposit Fund</t>
  </si>
  <si>
    <t>Div sent to</t>
  </si>
  <si>
    <t>church</t>
  </si>
  <si>
    <t>Div  credited</t>
  </si>
  <si>
    <t>to Dep Fund</t>
  </si>
  <si>
    <t>Interest</t>
  </si>
  <si>
    <t>open bal</t>
  </si>
  <si>
    <t>clos bal</t>
  </si>
  <si>
    <t>open MV</t>
  </si>
  <si>
    <t>clos MV</t>
  </si>
  <si>
    <t>In addition to the Endowment Funds shown in note 7, the charity holds £3,781 from the Jean Marshall Bequest, the income from which supports the Girls' Brigade and £3,018 for the Boys' Brigade.  The investments are not included in the church accounts in view of the different arrangements the groups have for registration with OSCR.  Like the other bequests the funds are invested in COSIT Income units.</t>
  </si>
  <si>
    <t>Jam</t>
  </si>
  <si>
    <t>Wyper div</t>
  </si>
  <si>
    <t>Munro div</t>
  </si>
  <si>
    <t>Compassion</t>
  </si>
  <si>
    <t>Mod Challenge</t>
  </si>
  <si>
    <t>Running costs</t>
  </si>
  <si>
    <t>Moderator's Challenge</t>
  </si>
  <si>
    <t>per above</t>
  </si>
  <si>
    <t>Cong lunch</t>
  </si>
  <si>
    <t>Indiv donor</t>
  </si>
  <si>
    <t>included in Char Dons</t>
  </si>
  <si>
    <t>Scan</t>
  </si>
  <si>
    <t>Fabric</t>
  </si>
  <si>
    <t>Div Mar</t>
  </si>
  <si>
    <t>Div Sep</t>
  </si>
  <si>
    <t>Int</t>
  </si>
  <si>
    <t>Sum Fayre</t>
  </si>
  <si>
    <t>Xmas Fayre</t>
  </si>
  <si>
    <t>Ins claim</t>
  </si>
  <si>
    <t>costs</t>
  </si>
  <si>
    <t>Income</t>
  </si>
  <si>
    <t>Guild Project</t>
  </si>
  <si>
    <t>Church</t>
  </si>
  <si>
    <t>Other costs</t>
  </si>
  <si>
    <t>Cosit Deposit</t>
  </si>
  <si>
    <t>Cardless</t>
  </si>
  <si>
    <t>CoS Insurance</t>
  </si>
  <si>
    <t>Investment</t>
  </si>
  <si>
    <t>Defib</t>
  </si>
  <si>
    <t>Int Mod Travel</t>
  </si>
  <si>
    <t>Country Bask</t>
  </si>
  <si>
    <t>DD C of S</t>
  </si>
  <si>
    <t>Pulpit Supply</t>
  </si>
  <si>
    <t>Holiday Club</t>
  </si>
  <si>
    <t>Eon (Gas)</t>
  </si>
  <si>
    <t>Lockie (Don Env)</t>
  </si>
  <si>
    <t>SSE (Elect)</t>
  </si>
  <si>
    <t>BT (Telephone)</t>
  </si>
  <si>
    <t>Canon (Printing)</t>
  </si>
  <si>
    <t>CSS (Alarm)</t>
  </si>
  <si>
    <t>Manse</t>
  </si>
  <si>
    <t>Ind Examiner</t>
  </si>
  <si>
    <t>Laptop</t>
  </si>
  <si>
    <t>Scheme of Del</t>
  </si>
  <si>
    <t>Locum (CT and Trav?)</t>
  </si>
  <si>
    <t>diff</t>
  </si>
  <si>
    <t>.</t>
  </si>
  <si>
    <t>Bank</t>
  </si>
  <si>
    <t>p</t>
  </si>
  <si>
    <t>Cardless (Booker)</t>
  </si>
  <si>
    <t>Bank int</t>
  </si>
  <si>
    <t>Dividend</t>
  </si>
  <si>
    <t>Fayres</t>
  </si>
  <si>
    <t>Treated as deduction from costs</t>
  </si>
  <si>
    <t>Donations to church</t>
  </si>
  <si>
    <t>Donations from Kelvin Valley</t>
  </si>
  <si>
    <t>Other</t>
  </si>
  <si>
    <t>Offerings</t>
  </si>
  <si>
    <t>Sub total</t>
  </si>
  <si>
    <t>GA Tax</t>
  </si>
  <si>
    <t>COSIT DF</t>
  </si>
  <si>
    <t>dif</t>
  </si>
  <si>
    <t>adj re 2024</t>
  </si>
  <si>
    <t>note 2</t>
  </si>
  <si>
    <t>Bank (main a/c + COSIT Deps)</t>
  </si>
  <si>
    <t>Gen Fund</t>
  </si>
  <si>
    <t>Benev Fund</t>
  </si>
  <si>
    <t>Sanctuary</t>
  </si>
  <si>
    <t>3rd party</t>
  </si>
  <si>
    <t>3rd Party</t>
  </si>
  <si>
    <t>Myanmar Appeal</t>
  </si>
  <si>
    <t>Mission Africa</t>
  </si>
  <si>
    <t>o/s cheques</t>
  </si>
  <si>
    <t>Miss A Strang</t>
  </si>
  <si>
    <t>Mr G Barrie</t>
  </si>
  <si>
    <t>Rev. Kenneth D. MacLeod</t>
  </si>
  <si>
    <t xml:space="preserve">Our Church has been working together with Burns and Old congregation having joint monthly services and other joint functions which are bringing the congregations together towards a union in Spring 2026. We also take a very active part in the Kilsyth and District Churches Connecting together to co- operate with other denominations in providing a loving and Christian Mission to the local community. Our BB and GB continue to work towards the higher awards available through these organisations. The Church hosted a number of holiday club events - one week long and a couple of day events. Our roll is currently 170 members, 87 adherents (many of whom are regular attenders and supporters) 12 children attending Jam club and around 75 young folks involved in BB and GB. 16 Funerals were conducted.
</t>
  </si>
  <si>
    <t>General</t>
  </si>
  <si>
    <t>dif in exp anal</t>
  </si>
  <si>
    <t xml:space="preserve">The principal source of receipts is weekly offerings and donations together with gift aid tax refund.  During the year 2025 total receipts amounted to £107,314 (year 2024 - £110,334).  Total payments amounted to £105,741 (year 2024 - £115,606). That resulted in a increase in cash this year of £1,573 compared with a reduction last year of £5,272.  However, the 2024 payments included the purchase of £25,000 of investments compared with £10,000 in 2025.  Fuller details of the receipts and payments are given in the accounts.
</t>
  </si>
  <si>
    <t>The church also held £5,861 of restricted funds which have been provided for the purposes specified in Note 2.</t>
  </si>
  <si>
    <t>The charity trustees have considered the reserves required and have taken into account their current and future liabilities. It is the Trustees' policy to hold reserves of approximately 6 months expenditure including designated funds. At the year end the church held unrestricted funds of £50,958 of which £29,562 had been designated for the Fabric Fund. The remaining balance of £21,396 is held in the General Fund which, overall  represents about six months expenditure.  They also have unrestricted investments of around £200,000.</t>
  </si>
  <si>
    <t>Approved by the Trustees on 24/03/2026  and signed on their behalf by.</t>
  </si>
  <si>
    <t>The accounts were approved by the Trustees on 24/03/2026 and signed on their behalf by:</t>
  </si>
  <si>
    <t>Session Clerk/Treasurer</t>
  </si>
  <si>
    <t>The income from the Isobel Barrie Fund has been credited to the Fabric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</si>
</sst>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F800]dddd\,\ mmmm\ dd\,\ yyyy"/>
    <numFmt numFmtId="165" formatCode="_-* #,##0_-;\-* #,##0_-;_-* &quot;-&quot;??_-;_-@_-"/>
    <numFmt numFmtId="166" formatCode="_-* #,##0_-;\(#,##0\);_-* &quot;- &quot;_-;_-@_-"/>
    <numFmt numFmtId="167" formatCode="###0\ "/>
    <numFmt numFmtId="168" formatCode="dd/mm/yyyy;@"/>
    <numFmt numFmtId="169" formatCode="_-* #,##0.00_-;\(#,##0.00\);_-* &quot;- &quot;_-;_-@_-"/>
    <numFmt numFmtId="170" formatCode="ddd\-mmm"/>
  </numFmts>
  <fonts count="65" x14ac:knownFonts="1">
    <font>
      <sz val="11"/>
      <color theme="1"/>
      <name val="Calibri"/>
      <family val="2"/>
      <scheme val="minor"/>
    </font>
    <font>
      <b/>
      <sz val="12"/>
      <color indexed="8"/>
      <name val="Arial"/>
      <family val="2"/>
    </font>
    <font>
      <sz val="11"/>
      <color indexed="8"/>
      <name val="Calibri"/>
      <family val="2"/>
    </font>
    <font>
      <sz val="11"/>
      <color theme="1"/>
      <name val="Calibri"/>
      <family val="2"/>
      <scheme val="minor"/>
    </font>
    <font>
      <b/>
      <sz val="11"/>
      <color theme="1"/>
      <name val="Calibri"/>
      <family val="2"/>
      <scheme val="minor"/>
    </font>
    <font>
      <sz val="11"/>
      <color theme="1"/>
      <name val="Arial"/>
      <family val="2"/>
    </font>
    <font>
      <sz val="12"/>
      <color theme="1"/>
      <name val="Arial"/>
      <family val="2"/>
    </font>
    <font>
      <sz val="14"/>
      <color theme="1"/>
      <name val="Arial"/>
      <family val="2"/>
    </font>
    <font>
      <sz val="16"/>
      <color theme="1"/>
      <name val="Arial"/>
      <family val="2"/>
    </font>
    <font>
      <sz val="16"/>
      <color theme="1"/>
      <name val="Arial Black"/>
      <family val="2"/>
    </font>
    <font>
      <sz val="11"/>
      <color theme="1"/>
      <name val="Arial Black"/>
      <family val="2"/>
    </font>
    <font>
      <sz val="14"/>
      <color theme="1"/>
      <name val="Calibri"/>
      <family val="2"/>
      <scheme val="minor"/>
    </font>
    <font>
      <b/>
      <sz val="12"/>
      <color theme="1"/>
      <name val="Arial"/>
      <family val="2"/>
    </font>
    <font>
      <sz val="10"/>
      <color theme="1"/>
      <name val="Arial"/>
      <family val="2"/>
    </font>
    <font>
      <b/>
      <i/>
      <sz val="11"/>
      <color theme="1"/>
      <name val="Calibri"/>
      <family val="2"/>
      <scheme val="minor"/>
    </font>
    <font>
      <b/>
      <sz val="10"/>
      <color theme="1"/>
      <name val="Arial"/>
      <family val="2"/>
    </font>
    <font>
      <b/>
      <sz val="11"/>
      <color theme="1"/>
      <name val="Arial"/>
      <family val="2"/>
    </font>
    <font>
      <sz val="11"/>
      <color theme="1"/>
      <name val="Calibri"/>
      <family val="2"/>
    </font>
    <font>
      <b/>
      <sz val="11"/>
      <color theme="1"/>
      <name val="Calibri"/>
      <family val="2"/>
    </font>
    <font>
      <sz val="12"/>
      <color theme="1"/>
      <name val="Calibri"/>
      <family val="2"/>
      <scheme val="minor"/>
    </font>
    <font>
      <i/>
      <sz val="11"/>
      <color theme="1"/>
      <name val="Calibri"/>
      <family val="2"/>
      <scheme val="minor"/>
    </font>
    <font>
      <i/>
      <sz val="11"/>
      <color theme="1"/>
      <name val="Arial"/>
      <family val="2"/>
    </font>
    <font>
      <b/>
      <sz val="12"/>
      <color theme="1"/>
      <name val="Calibri"/>
      <family val="2"/>
      <scheme val="minor"/>
    </font>
    <font>
      <b/>
      <sz val="14"/>
      <color theme="1"/>
      <name val="Arial"/>
      <family val="2"/>
    </font>
    <font>
      <b/>
      <sz val="14"/>
      <color theme="1"/>
      <name val="Calibri"/>
      <family val="2"/>
      <scheme val="minor"/>
    </font>
    <font>
      <b/>
      <sz val="16"/>
      <color theme="1"/>
      <name val="Arial"/>
      <family val="2"/>
    </font>
    <font>
      <b/>
      <sz val="16"/>
      <color theme="1"/>
      <name val="Arial Black"/>
      <family val="2"/>
    </font>
    <font>
      <b/>
      <i/>
      <sz val="10"/>
      <color theme="1"/>
      <name val="Times New Roman"/>
      <family val="1"/>
    </font>
    <font>
      <b/>
      <sz val="9"/>
      <color theme="1"/>
      <name val="Times New Roman"/>
      <family val="1"/>
    </font>
    <font>
      <sz val="10"/>
      <color theme="1"/>
      <name val="Times New Roman"/>
      <family val="1"/>
    </font>
    <font>
      <sz val="9"/>
      <color theme="1"/>
      <name val="Times New Roman"/>
      <family val="1"/>
    </font>
    <font>
      <sz val="10"/>
      <name val="Times New Roman"/>
      <family val="1"/>
    </font>
    <font>
      <i/>
      <sz val="12"/>
      <name val="Times New Roman"/>
      <family val="1"/>
    </font>
    <font>
      <b/>
      <sz val="11"/>
      <name val="Calibri"/>
      <family val="2"/>
      <scheme val="minor"/>
    </font>
    <font>
      <sz val="11"/>
      <name val="Calibri"/>
      <family val="2"/>
      <scheme val="minor"/>
    </font>
    <font>
      <i/>
      <sz val="11"/>
      <name val="Calibri"/>
      <family val="2"/>
      <scheme val="minor"/>
    </font>
    <font>
      <sz val="11"/>
      <name val="Calibri"/>
      <family val="2"/>
    </font>
    <font>
      <b/>
      <sz val="12"/>
      <color indexed="8"/>
      <name val="Calibri"/>
      <family val="2"/>
      <scheme val="minor"/>
    </font>
    <font>
      <sz val="12"/>
      <color indexed="8"/>
      <name val="Calibri"/>
      <family val="2"/>
      <scheme val="minor"/>
    </font>
    <font>
      <b/>
      <sz val="14"/>
      <color theme="1"/>
      <name val="Arial"/>
      <family val="2"/>
    </font>
    <font>
      <b/>
      <sz val="14"/>
      <color theme="1"/>
      <name val="Calibri"/>
      <family val="2"/>
      <scheme val="minor"/>
    </font>
    <font>
      <sz val="14"/>
      <color theme="1"/>
      <name val="Calibri"/>
      <family val="2"/>
      <scheme val="minor"/>
    </font>
    <font>
      <sz val="11"/>
      <color theme="1"/>
      <name val="Calibri"/>
      <family val="2"/>
      <scheme val="minor"/>
    </font>
    <font>
      <b/>
      <sz val="12"/>
      <color theme="1"/>
      <name val="Arial"/>
      <family val="2"/>
    </font>
    <font>
      <b/>
      <sz val="12"/>
      <color theme="1"/>
      <name val="Calibri"/>
      <family val="2"/>
      <scheme val="minor"/>
    </font>
    <font>
      <sz val="12"/>
      <color theme="1"/>
      <name val="Calibri"/>
      <family val="2"/>
      <scheme val="minor"/>
    </font>
    <font>
      <sz val="12"/>
      <color theme="1"/>
      <name val="Arial"/>
      <family val="2"/>
    </font>
    <font>
      <b/>
      <i/>
      <sz val="10"/>
      <color theme="1"/>
      <name val="Arial"/>
      <family val="2"/>
    </font>
    <font>
      <i/>
      <sz val="10"/>
      <color theme="1"/>
      <name val="Calibri"/>
      <family val="2"/>
      <scheme val="minor"/>
    </font>
    <font>
      <i/>
      <sz val="10"/>
      <color theme="1"/>
      <name val="Arial"/>
      <family val="2"/>
    </font>
    <font>
      <b/>
      <sz val="10"/>
      <color theme="1"/>
      <name val="Arial"/>
      <family val="2"/>
    </font>
    <font>
      <b/>
      <i/>
      <sz val="12"/>
      <color theme="1"/>
      <name val="Arial"/>
      <family val="2"/>
    </font>
    <font>
      <sz val="12"/>
      <name val="Times New Roman"/>
      <family val="1"/>
    </font>
    <font>
      <b/>
      <i/>
      <sz val="10"/>
      <color theme="1"/>
      <name val="Arial"/>
      <family val="2"/>
    </font>
    <font>
      <sz val="11"/>
      <color theme="1"/>
      <name val="Calibri"/>
      <family val="2"/>
      <scheme val="minor"/>
    </font>
    <font>
      <b/>
      <sz val="12"/>
      <color theme="1"/>
      <name val="Calibri"/>
      <family val="2"/>
    </font>
    <font>
      <b/>
      <sz val="12"/>
      <color rgb="FFFF0000"/>
      <name val="Arial"/>
      <family val="2"/>
    </font>
    <font>
      <sz val="11"/>
      <color rgb="FFFF0000"/>
      <name val="Arial"/>
      <family val="2"/>
    </font>
    <font>
      <i/>
      <sz val="10"/>
      <name val="Times New Roman"/>
      <family val="1"/>
    </font>
    <font>
      <u/>
      <sz val="11"/>
      <color theme="1"/>
      <name val="Calibri"/>
      <family val="2"/>
      <scheme val="minor"/>
    </font>
    <font>
      <sz val="11.5"/>
      <color theme="1"/>
      <name val="Calibri"/>
      <family val="2"/>
      <scheme val="minor"/>
    </font>
    <font>
      <sz val="9"/>
      <color indexed="81"/>
      <name val="Tahoma"/>
      <charset val="1"/>
    </font>
    <font>
      <b/>
      <sz val="9"/>
      <color indexed="81"/>
      <name val="Tahoma"/>
      <charset val="1"/>
    </font>
    <font>
      <sz val="9"/>
      <color indexed="81"/>
      <name val="Tahoma"/>
      <family val="2"/>
    </font>
    <font>
      <b/>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
    <border>
      <left/>
      <right/>
      <top/>
      <bottom/>
      <diagonal/>
    </border>
    <border>
      <left/>
      <right/>
      <top/>
      <bottom style="double">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52" fillId="0" borderId="0"/>
  </cellStyleXfs>
  <cellXfs count="150">
    <xf numFmtId="0" fontId="0" fillId="0" borderId="0" xfId="0"/>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5" fillId="0" borderId="0" xfId="0" applyFont="1" applyAlignment="1">
      <alignment horizontal="center" vertical="center"/>
    </xf>
    <xf numFmtId="0" fontId="5" fillId="0" borderId="0" xfId="0" applyFont="1" applyAlignment="1">
      <alignment horizontal="centerContinuous" vertical="center"/>
    </xf>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4" fillId="0" borderId="0" xfId="0" applyFont="1"/>
    <xf numFmtId="0" fontId="19" fillId="0" borderId="0" xfId="0" applyFont="1"/>
    <xf numFmtId="0" fontId="16" fillId="0" borderId="0" xfId="0" applyFont="1" applyAlignment="1">
      <alignment horizontal="right"/>
    </xf>
    <xf numFmtId="0" fontId="4" fillId="0" borderId="0" xfId="0" applyFont="1" applyAlignment="1">
      <alignment horizontal="right"/>
    </xf>
    <xf numFmtId="0" fontId="20" fillId="0" borderId="0" xfId="0" applyFont="1"/>
    <xf numFmtId="0" fontId="21" fillId="0" borderId="0" xfId="0" applyFont="1"/>
    <xf numFmtId="0" fontId="22" fillId="0" borderId="0" xfId="0" applyFont="1"/>
    <xf numFmtId="0" fontId="23" fillId="0" borderId="0" xfId="0" applyFont="1"/>
    <xf numFmtId="0" fontId="24" fillId="0" borderId="0" xfId="0" applyFont="1"/>
    <xf numFmtId="0" fontId="13" fillId="0" borderId="0" xfId="0" applyFont="1" applyAlignment="1">
      <alignment horizontal="center"/>
    </xf>
    <xf numFmtId="0" fontId="16" fillId="0" borderId="0" xfId="0" applyFont="1"/>
    <xf numFmtId="0" fontId="15" fillId="0" borderId="0" xfId="0" applyFont="1" applyAlignment="1">
      <alignment horizontal="right"/>
    </xf>
    <xf numFmtId="166" fontId="2" fillId="0" borderId="0" xfId="0" applyNumberFormat="1" applyFont="1" applyProtection="1">
      <protection locked="0"/>
    </xf>
    <xf numFmtId="0" fontId="27" fillId="0" borderId="0" xfId="0" applyFont="1"/>
    <xf numFmtId="0" fontId="28" fillId="0" borderId="0" xfId="0" applyFont="1" applyAlignment="1">
      <alignment horizontal="center" vertical="top" wrapText="1"/>
    </xf>
    <xf numFmtId="0" fontId="28" fillId="0" borderId="0" xfId="0" applyFont="1" applyAlignment="1">
      <alignment horizontal="right" vertical="top" wrapText="1"/>
    </xf>
    <xf numFmtId="0" fontId="29" fillId="0" borderId="0" xfId="0" applyFont="1"/>
    <xf numFmtId="0" fontId="0" fillId="0" borderId="0" xfId="0" applyAlignment="1">
      <alignment horizontal="center"/>
    </xf>
    <xf numFmtId="0" fontId="29" fillId="0" borderId="0" xfId="0" quotePrefix="1" applyFont="1" applyAlignment="1">
      <alignment horizontal="right"/>
    </xf>
    <xf numFmtId="0" fontId="30" fillId="0" borderId="0" xfId="0" applyFont="1" applyAlignment="1">
      <alignment horizontal="justify" wrapText="1"/>
    </xf>
    <xf numFmtId="0" fontId="29" fillId="0" borderId="0" xfId="0" applyFont="1" applyAlignment="1">
      <alignment horizontal="center"/>
    </xf>
    <xf numFmtId="0" fontId="17" fillId="0" borderId="0" xfId="0" applyFont="1"/>
    <xf numFmtId="0" fontId="18" fillId="0" borderId="0" xfId="0" applyFont="1"/>
    <xf numFmtId="0" fontId="18" fillId="0" borderId="0" xfId="0" applyFont="1" applyAlignment="1">
      <alignment horizontal="right"/>
    </xf>
    <xf numFmtId="0" fontId="17" fillId="0" borderId="0" xfId="0" applyFont="1" applyAlignment="1">
      <alignment horizontal="right"/>
    </xf>
    <xf numFmtId="0" fontId="0" fillId="0" borderId="0" xfId="0" applyAlignment="1">
      <alignment horizontal="right"/>
    </xf>
    <xf numFmtId="165" fontId="0" fillId="0" borderId="0" xfId="0" applyNumberFormat="1"/>
    <xf numFmtId="49" fontId="34" fillId="0" borderId="0" xfId="0" applyNumberFormat="1" applyFont="1" applyAlignment="1">
      <alignment horizontal="left"/>
    </xf>
    <xf numFmtId="0" fontId="34" fillId="0" borderId="0" xfId="0" applyFont="1"/>
    <xf numFmtId="0" fontId="34" fillId="0" borderId="0" xfId="0" applyFont="1" applyAlignment="1">
      <alignment vertical="top"/>
    </xf>
    <xf numFmtId="49" fontId="34" fillId="0" borderId="0" xfId="0" applyNumberFormat="1" applyFont="1" applyAlignment="1">
      <alignment horizontal="left" vertical="top"/>
    </xf>
    <xf numFmtId="0" fontId="34" fillId="0" borderId="0" xfId="0" applyFont="1" applyAlignment="1">
      <alignment horizontal="justify" vertical="top" wrapText="1"/>
    </xf>
    <xf numFmtId="0" fontId="0" fillId="0" borderId="0" xfId="0" applyAlignment="1">
      <alignment horizontal="justify" vertical="top"/>
    </xf>
    <xf numFmtId="0" fontId="34" fillId="0" borderId="0" xfId="0" applyFont="1" applyAlignment="1">
      <alignment horizontal="justify" vertical="top"/>
    </xf>
    <xf numFmtId="0" fontId="32" fillId="0" borderId="0" xfId="0" applyFont="1" applyAlignment="1">
      <alignment horizontal="justify" vertical="top"/>
    </xf>
    <xf numFmtId="0" fontId="0" fillId="0" borderId="0" xfId="0" applyAlignment="1">
      <alignment wrapText="1"/>
    </xf>
    <xf numFmtId="0" fontId="20" fillId="0" borderId="0" xfId="0" applyFont="1" applyAlignment="1">
      <alignment horizontal="justify" vertical="top" wrapText="1"/>
    </xf>
    <xf numFmtId="0" fontId="33" fillId="0" borderId="0" xfId="0" applyFont="1"/>
    <xf numFmtId="166" fontId="0" fillId="0" borderId="0" xfId="0" applyNumberFormat="1"/>
    <xf numFmtId="167" fontId="4" fillId="0" borderId="0" xfId="0" applyNumberFormat="1" applyFont="1"/>
    <xf numFmtId="0" fontId="39" fillId="0" borderId="0" xfId="0" applyFont="1"/>
    <xf numFmtId="0" fontId="40" fillId="0" borderId="0" xfId="0" applyFont="1"/>
    <xf numFmtId="0" fontId="41" fillId="0" borderId="0" xfId="0" applyFont="1"/>
    <xf numFmtId="0" fontId="42" fillId="0" borderId="0" xfId="0" applyFont="1"/>
    <xf numFmtId="0" fontId="43" fillId="0" borderId="0" xfId="0" applyFont="1"/>
    <xf numFmtId="0" fontId="44" fillId="0" borderId="0" xfId="0" applyFont="1"/>
    <xf numFmtId="0" fontId="45" fillId="0" borderId="0" xfId="0" applyFont="1"/>
    <xf numFmtId="0" fontId="46" fillId="0" borderId="0" xfId="0" applyFont="1"/>
    <xf numFmtId="0" fontId="47" fillId="0" borderId="0" xfId="0" applyFont="1"/>
    <xf numFmtId="0" fontId="48" fillId="0" borderId="0" xfId="0" applyFont="1"/>
    <xf numFmtId="0" fontId="49" fillId="0" borderId="0" xfId="0" applyFont="1"/>
    <xf numFmtId="0" fontId="50" fillId="0" borderId="0" xfId="0" applyFont="1"/>
    <xf numFmtId="164" fontId="51" fillId="0" borderId="0" xfId="0" applyNumberFormat="1" applyFont="1" applyAlignment="1">
      <alignment horizontal="left"/>
    </xf>
    <xf numFmtId="0" fontId="0" fillId="0" borderId="0" xfId="0" applyAlignment="1">
      <alignment horizontal="justify" vertical="top" wrapText="1"/>
    </xf>
    <xf numFmtId="0" fontId="20" fillId="0" borderId="0" xfId="0" applyFont="1" applyAlignment="1">
      <alignment wrapText="1"/>
    </xf>
    <xf numFmtId="0" fontId="52" fillId="0" borderId="0" xfId="1" applyAlignment="1">
      <alignment horizontal="justify" vertical="top"/>
    </xf>
    <xf numFmtId="0" fontId="54" fillId="2" borderId="0" xfId="0" applyFont="1" applyFill="1" applyAlignment="1">
      <alignment wrapText="1"/>
    </xf>
    <xf numFmtId="0" fontId="34" fillId="0" borderId="0" xfId="1" applyFont="1" applyAlignment="1">
      <alignment horizontal="justify" vertical="top"/>
    </xf>
    <xf numFmtId="0" fontId="13" fillId="0" borderId="2" xfId="0" applyFont="1" applyBorder="1"/>
    <xf numFmtId="0" fontId="19" fillId="0" borderId="0" xfId="0" quotePrefix="1" applyFont="1"/>
    <xf numFmtId="0" fontId="22" fillId="0" borderId="0" xfId="0" quotePrefix="1" applyFont="1"/>
    <xf numFmtId="0" fontId="55" fillId="0" borderId="0" xfId="0" applyFont="1"/>
    <xf numFmtId="0" fontId="6" fillId="0" borderId="0" xfId="0" applyFont="1" applyAlignment="1">
      <alignment horizontal="right"/>
    </xf>
    <xf numFmtId="0" fontId="38" fillId="0" borderId="0" xfId="0" applyFont="1"/>
    <xf numFmtId="166" fontId="2" fillId="0" borderId="0" xfId="0" applyNumberFormat="1" applyFont="1"/>
    <xf numFmtId="166" fontId="0" fillId="0" borderId="1" xfId="0" applyNumberFormat="1" applyBorder="1" applyAlignment="1" applyProtection="1">
      <alignment horizontal="right"/>
      <protection locked="0"/>
    </xf>
    <xf numFmtId="0" fontId="34" fillId="0" borderId="0" xfId="0" applyFont="1" applyAlignment="1">
      <alignment wrapText="1"/>
    </xf>
    <xf numFmtId="0" fontId="0" fillId="0" borderId="0" xfId="0" applyProtection="1">
      <protection locked="0"/>
    </xf>
    <xf numFmtId="0" fontId="20" fillId="0" borderId="0" xfId="0" applyFont="1" applyProtection="1">
      <protection locked="0"/>
    </xf>
    <xf numFmtId="0" fontId="19" fillId="0" borderId="0" xfId="0" applyFont="1" applyProtection="1">
      <protection locked="0"/>
    </xf>
    <xf numFmtId="0" fontId="6" fillId="0" borderId="0" xfId="0" applyFont="1" applyProtection="1">
      <protection locked="0"/>
    </xf>
    <xf numFmtId="0" fontId="17" fillId="0" borderId="0" xfId="0" applyFont="1" applyProtection="1">
      <protection locked="0"/>
    </xf>
    <xf numFmtId="0" fontId="13" fillId="0" borderId="0" xfId="0" applyFont="1" applyProtection="1">
      <protection locked="0"/>
    </xf>
    <xf numFmtId="0" fontId="25" fillId="0" borderId="0" xfId="0" applyFont="1" applyAlignment="1">
      <alignment horizontal="center" vertical="center"/>
    </xf>
    <xf numFmtId="0" fontId="0" fillId="0" borderId="0" xfId="0" applyAlignment="1">
      <alignment horizontal="center" vertical="center"/>
    </xf>
    <xf numFmtId="0" fontId="20" fillId="0" borderId="0" xfId="0" applyFont="1" applyAlignment="1">
      <alignment horizontal="center"/>
    </xf>
    <xf numFmtId="0" fontId="57" fillId="0" borderId="0" xfId="0" applyFont="1"/>
    <xf numFmtId="0" fontId="0" fillId="0" borderId="0" xfId="0" applyAlignment="1">
      <alignment vertical="center"/>
    </xf>
    <xf numFmtId="2" fontId="29" fillId="0" borderId="0" xfId="0" quotePrefix="1" applyNumberFormat="1" applyFont="1" applyAlignment="1">
      <alignment horizontal="right"/>
    </xf>
    <xf numFmtId="0" fontId="22" fillId="0" borderId="0" xfId="0" quotePrefix="1" applyFont="1" applyAlignment="1">
      <alignment horizontal="left"/>
    </xf>
    <xf numFmtId="0" fontId="31" fillId="0" borderId="0" xfId="0" applyFont="1"/>
    <xf numFmtId="0" fontId="60" fillId="0" borderId="0" xfId="0" applyFont="1"/>
    <xf numFmtId="43" fontId="0" fillId="0" borderId="0" xfId="0" applyNumberFormat="1"/>
    <xf numFmtId="0" fontId="4" fillId="0" borderId="0" xfId="0" applyFont="1" applyAlignment="1">
      <alignment horizontal="left"/>
    </xf>
    <xf numFmtId="168" fontId="0" fillId="0" borderId="0" xfId="0" applyNumberFormat="1" applyAlignment="1">
      <alignment horizontal="left"/>
    </xf>
    <xf numFmtId="0" fontId="29" fillId="0" borderId="0" xfId="0" applyFont="1" applyAlignment="1">
      <alignment horizontal="right"/>
    </xf>
    <xf numFmtId="166" fontId="2" fillId="3" borderId="0" xfId="0" applyNumberFormat="1" applyFont="1" applyFill="1" applyProtection="1">
      <protection locked="0"/>
    </xf>
    <xf numFmtId="169" fontId="0" fillId="0" borderId="0" xfId="0" applyNumberFormat="1"/>
    <xf numFmtId="169" fontId="2" fillId="0" borderId="0" xfId="0" applyNumberFormat="1" applyFont="1" applyProtection="1">
      <protection locked="0"/>
    </xf>
    <xf numFmtId="0" fontId="0" fillId="3" borderId="0" xfId="0" applyFill="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169" fontId="2" fillId="0" borderId="7" xfId="0" applyNumberFormat="1" applyFont="1" applyBorder="1" applyProtection="1">
      <protection locked="0"/>
    </xf>
    <xf numFmtId="0" fontId="0" fillId="0" borderId="8" xfId="0" applyBorder="1"/>
    <xf numFmtId="0" fontId="0" fillId="0" borderId="2" xfId="0" applyBorder="1"/>
    <xf numFmtId="0" fontId="0" fillId="0" borderId="9" xfId="0" applyBorder="1"/>
    <xf numFmtId="169" fontId="2" fillId="0" borderId="6" xfId="0" applyNumberFormat="1" applyFont="1" applyBorder="1" applyProtection="1">
      <protection locked="0"/>
    </xf>
    <xf numFmtId="169" fontId="0" fillId="0" borderId="7" xfId="0" applyNumberFormat="1" applyBorder="1"/>
    <xf numFmtId="169" fontId="2" fillId="0" borderId="8" xfId="0" applyNumberFormat="1" applyFont="1" applyBorder="1" applyProtection="1">
      <protection locked="0"/>
    </xf>
    <xf numFmtId="169" fontId="2" fillId="0" borderId="2" xfId="0" applyNumberFormat="1" applyFont="1" applyBorder="1" applyProtection="1">
      <protection locked="0"/>
    </xf>
    <xf numFmtId="43" fontId="0" fillId="0" borderId="9" xfId="0" applyNumberFormat="1" applyBorder="1"/>
    <xf numFmtId="169" fontId="0" fillId="0" borderId="2" xfId="0" applyNumberFormat="1" applyBorder="1"/>
    <xf numFmtId="169" fontId="0" fillId="0" borderId="9" xfId="0" applyNumberFormat="1" applyBorder="1"/>
    <xf numFmtId="166" fontId="0" fillId="0" borderId="2" xfId="0" applyNumberFormat="1" applyBorder="1"/>
    <xf numFmtId="0" fontId="2" fillId="0" borderId="0" xfId="0" applyFont="1" applyProtection="1">
      <protection locked="0"/>
    </xf>
    <xf numFmtId="166" fontId="42" fillId="0" borderId="0" xfId="0" applyNumberFormat="1" applyFont="1"/>
    <xf numFmtId="170" fontId="0" fillId="0" borderId="0" xfId="0" applyNumberFormat="1"/>
    <xf numFmtId="0" fontId="52" fillId="0" borderId="0" xfId="1" applyAlignment="1">
      <alignment horizontal="justify" vertical="top"/>
    </xf>
    <xf numFmtId="0" fontId="34" fillId="0" borderId="0" xfId="1" applyFont="1" applyAlignment="1" applyProtection="1">
      <alignment horizontal="justify" vertical="top"/>
      <protection locked="0"/>
    </xf>
    <xf numFmtId="0" fontId="34" fillId="0" borderId="0" xfId="0" applyFont="1" applyAlignment="1" applyProtection="1">
      <alignment vertical="top" wrapText="1"/>
      <protection locked="0"/>
    </xf>
    <xf numFmtId="0" fontId="0" fillId="0" borderId="0" xfId="0" applyAlignment="1" applyProtection="1">
      <alignment wrapText="1"/>
      <protection locked="0"/>
    </xf>
    <xf numFmtId="0" fontId="36" fillId="0" borderId="0" xfId="0" applyFont="1" applyAlignment="1">
      <alignment horizontal="justify" vertical="top" wrapText="1"/>
    </xf>
    <xf numFmtId="0" fontId="53" fillId="0" borderId="0" xfId="0" applyFont="1" applyAlignment="1">
      <alignment wrapText="1"/>
    </xf>
    <xf numFmtId="0" fontId="0" fillId="2" borderId="0" xfId="0" applyFill="1" applyAlignment="1" applyProtection="1">
      <alignment vertical="top" wrapText="1"/>
      <protection locked="0"/>
    </xf>
    <xf numFmtId="0" fontId="54" fillId="2" borderId="0" xfId="0" applyFont="1" applyFill="1" applyAlignment="1" applyProtection="1">
      <alignment vertical="top" wrapText="1"/>
      <protection locked="0"/>
    </xf>
    <xf numFmtId="0" fontId="34" fillId="0" borderId="0" xfId="0" applyFont="1" applyAlignment="1">
      <alignment horizontal="justify" vertical="top" wrapText="1"/>
    </xf>
    <xf numFmtId="0" fontId="36" fillId="0" borderId="0" xfId="0" applyFont="1" applyAlignment="1" applyProtection="1">
      <alignment horizontal="justify" vertical="top" wrapText="1"/>
      <protection locked="0"/>
    </xf>
    <xf numFmtId="0" fontId="20" fillId="0" borderId="0" xfId="0" applyFont="1" applyAlignment="1">
      <alignment vertical="center" wrapText="1"/>
    </xf>
    <xf numFmtId="0" fontId="12" fillId="0" borderId="0" xfId="0" applyFont="1" applyAlignment="1" applyProtection="1">
      <alignment horizontal="center"/>
      <protection locked="0"/>
    </xf>
    <xf numFmtId="0" fontId="1" fillId="0" borderId="0" xfId="0" applyFont="1" applyAlignment="1" applyProtection="1">
      <alignment horizontal="center"/>
      <protection locked="0"/>
    </xf>
    <xf numFmtId="0" fontId="26" fillId="0" borderId="0" xfId="0" applyFont="1" applyAlignment="1" applyProtection="1">
      <alignment horizontal="center"/>
      <protection locked="0"/>
    </xf>
    <xf numFmtId="0" fontId="56" fillId="0" borderId="0" xfId="0" applyFont="1" applyAlignment="1">
      <alignment horizontal="left" vertical="center"/>
    </xf>
    <xf numFmtId="0" fontId="25" fillId="0" borderId="0" xfId="0" applyFont="1" applyAlignment="1">
      <alignment horizontal="center"/>
    </xf>
    <xf numFmtId="0" fontId="25" fillId="0" borderId="0" xfId="0" applyFont="1" applyAlignment="1" applyProtection="1">
      <alignment horizontal="center" vertical="center"/>
      <protection locked="0"/>
    </xf>
    <xf numFmtId="0" fontId="0" fillId="0" borderId="0" xfId="0" applyAlignment="1">
      <alignment vertical="center" wrapText="1"/>
    </xf>
    <xf numFmtId="0" fontId="0" fillId="0" borderId="0" xfId="0" applyAlignment="1">
      <alignment wrapText="1"/>
    </xf>
    <xf numFmtId="0" fontId="20" fillId="0" borderId="0" xfId="0" applyFont="1" applyAlignment="1">
      <alignment horizontal="justify" vertical="top" wrapText="1"/>
    </xf>
    <xf numFmtId="0" fontId="34" fillId="0" borderId="0" xfId="0" applyFont="1" applyAlignment="1" applyProtection="1">
      <alignment horizontal="justify" vertical="top"/>
      <protection locked="0"/>
    </xf>
    <xf numFmtId="0" fontId="33" fillId="0" borderId="0" xfId="0" applyFont="1"/>
    <xf numFmtId="0" fontId="34" fillId="0" borderId="0" xfId="0" applyFont="1" applyAlignment="1">
      <alignment horizontal="justify" vertical="top"/>
    </xf>
    <xf numFmtId="0" fontId="0" fillId="0" borderId="0" xfId="0" applyAlignment="1" applyProtection="1">
      <alignment vertical="center" wrapText="1"/>
      <protection locked="0"/>
    </xf>
    <xf numFmtId="0" fontId="3" fillId="0" borderId="0" xfId="0" applyFont="1" applyAlignment="1" applyProtection="1">
      <alignment wrapText="1"/>
      <protection locked="0"/>
    </xf>
    <xf numFmtId="0" fontId="59" fillId="0" borderId="0" xfId="0" applyFont="1" applyAlignment="1" applyProtection="1">
      <alignment wrapText="1"/>
      <protection locked="0"/>
    </xf>
  </cellXfs>
  <cellStyles count="2">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4"/>
  <sheetViews>
    <sheetView topLeftCell="A2" workbookViewId="0">
      <selection activeCell="A29" sqref="A29:I29"/>
    </sheetView>
  </sheetViews>
  <sheetFormatPr defaultRowHeight="14.4" x14ac:dyDescent="0.3"/>
  <sheetData>
    <row r="1" spans="1:20" ht="21" x14ac:dyDescent="0.3">
      <c r="A1" s="10" t="s">
        <v>211</v>
      </c>
      <c r="B1" s="87"/>
      <c r="C1" s="87"/>
      <c r="D1" s="87"/>
      <c r="E1" s="87"/>
      <c r="F1" s="87"/>
      <c r="G1" s="87"/>
      <c r="H1" s="87"/>
      <c r="I1" s="87"/>
      <c r="K1" s="7"/>
      <c r="L1" s="1"/>
      <c r="M1" s="1"/>
      <c r="N1" s="1"/>
      <c r="O1" s="1"/>
      <c r="P1" s="1"/>
      <c r="Q1" s="1"/>
      <c r="R1" s="1"/>
      <c r="S1" s="1"/>
      <c r="T1" s="1"/>
    </row>
    <row r="2" spans="1:20" x14ac:dyDescent="0.3">
      <c r="C2" s="8"/>
      <c r="D2" s="8"/>
      <c r="E2" s="8"/>
      <c r="F2" s="8"/>
      <c r="G2" s="8"/>
      <c r="K2" s="7"/>
      <c r="M2" s="1"/>
      <c r="N2" s="1"/>
      <c r="O2" s="1"/>
      <c r="P2" s="1"/>
      <c r="Q2" s="1"/>
      <c r="R2" s="1"/>
      <c r="S2" s="1"/>
      <c r="T2" s="1"/>
    </row>
    <row r="3" spans="1:20" ht="15.6" x14ac:dyDescent="0.3">
      <c r="A3" s="138" t="s">
        <v>210</v>
      </c>
      <c r="B3" s="138"/>
      <c r="C3" s="138"/>
      <c r="D3" s="138"/>
      <c r="E3" s="138"/>
      <c r="F3" s="138"/>
      <c r="G3" s="138"/>
      <c r="H3" s="138"/>
      <c r="I3" s="138"/>
      <c r="K3" s="7"/>
      <c r="L3" s="90" t="s">
        <v>205</v>
      </c>
      <c r="M3" s="1"/>
      <c r="N3" s="1"/>
      <c r="O3" s="1"/>
      <c r="P3" s="1"/>
      <c r="Q3" s="1"/>
      <c r="R3" s="1"/>
      <c r="S3" s="1"/>
      <c r="T3" s="1"/>
    </row>
    <row r="4" spans="1:20" x14ac:dyDescent="0.3">
      <c r="A4" s="1"/>
      <c r="B4" s="1"/>
      <c r="C4" s="1"/>
      <c r="D4" s="1"/>
      <c r="E4" s="1"/>
      <c r="F4" s="1"/>
      <c r="G4" s="1"/>
      <c r="H4" s="1"/>
      <c r="I4" s="1"/>
      <c r="J4" s="1"/>
      <c r="K4" s="1"/>
      <c r="L4" s="1"/>
      <c r="M4" s="1"/>
      <c r="N4" s="1"/>
      <c r="O4" s="1"/>
      <c r="P4" s="1"/>
      <c r="Q4" s="1"/>
      <c r="R4" s="1"/>
      <c r="S4" s="1"/>
      <c r="T4" s="1"/>
    </row>
    <row r="5" spans="1:20" x14ac:dyDescent="0.3">
      <c r="A5" s="1"/>
      <c r="B5" s="1"/>
      <c r="C5" s="1"/>
      <c r="D5" s="1"/>
      <c r="E5" s="1"/>
      <c r="F5" s="1"/>
      <c r="G5" s="1"/>
      <c r="H5" s="1"/>
      <c r="I5" s="1"/>
      <c r="J5" s="1"/>
      <c r="K5" s="1"/>
      <c r="L5" s="1"/>
      <c r="M5" s="1"/>
      <c r="N5" s="1"/>
      <c r="O5" s="1"/>
      <c r="P5" s="1"/>
      <c r="Q5" s="1"/>
      <c r="R5" s="1"/>
      <c r="S5" s="1"/>
      <c r="T5" s="1"/>
    </row>
    <row r="6" spans="1:20" x14ac:dyDescent="0.3">
      <c r="A6" s="1"/>
      <c r="B6" s="1"/>
      <c r="C6" s="1"/>
      <c r="D6" s="1"/>
      <c r="E6" s="1"/>
      <c r="F6" s="1"/>
      <c r="G6" s="1"/>
      <c r="H6" s="1"/>
      <c r="I6" s="1"/>
      <c r="J6" s="1"/>
      <c r="K6" s="1"/>
      <c r="L6" s="1"/>
      <c r="M6" s="1"/>
      <c r="N6" s="1"/>
      <c r="O6" s="1"/>
      <c r="P6" s="1"/>
      <c r="Q6" s="1"/>
      <c r="R6" s="1"/>
      <c r="S6" s="1"/>
      <c r="T6" s="1"/>
    </row>
    <row r="7" spans="1:20" x14ac:dyDescent="0.3">
      <c r="A7" s="1"/>
      <c r="B7" s="1"/>
      <c r="C7" s="1"/>
      <c r="D7" s="1"/>
      <c r="E7" s="1"/>
      <c r="F7" s="1"/>
      <c r="G7" s="1"/>
      <c r="H7" s="1"/>
      <c r="I7" s="1"/>
      <c r="J7" s="1"/>
      <c r="K7" s="1"/>
      <c r="L7" s="1"/>
      <c r="M7" s="1"/>
      <c r="N7" s="1"/>
      <c r="O7" s="1"/>
      <c r="P7" s="1"/>
      <c r="Q7" s="1"/>
      <c r="R7" s="1"/>
      <c r="S7" s="1"/>
      <c r="T7" s="1"/>
    </row>
    <row r="8" spans="1:20" x14ac:dyDescent="0.3">
      <c r="A8" s="1"/>
      <c r="B8" s="1"/>
      <c r="C8" s="1"/>
      <c r="D8" s="1"/>
      <c r="E8" s="1"/>
      <c r="F8" s="1"/>
      <c r="G8" s="1"/>
      <c r="H8" s="1"/>
      <c r="I8" s="1"/>
      <c r="J8" s="1"/>
      <c r="K8" s="1"/>
      <c r="L8" s="1"/>
      <c r="M8" s="1"/>
      <c r="N8" s="1"/>
      <c r="O8" s="1"/>
      <c r="P8" s="1"/>
      <c r="Q8" s="1"/>
      <c r="R8" s="1"/>
      <c r="S8" s="1"/>
      <c r="T8" s="1"/>
    </row>
    <row r="9" spans="1:20" ht="21" x14ac:dyDescent="0.3">
      <c r="A9" s="140" t="s">
        <v>257</v>
      </c>
      <c r="B9" s="140"/>
      <c r="C9" s="140"/>
      <c r="D9" s="140"/>
      <c r="E9" s="140"/>
      <c r="F9" s="140"/>
      <c r="G9" s="140"/>
      <c r="H9" s="140"/>
      <c r="I9" s="140"/>
      <c r="J9" s="1"/>
      <c r="K9" s="1"/>
      <c r="L9" s="1" t="s">
        <v>173</v>
      </c>
      <c r="M9" s="1"/>
      <c r="N9" s="1"/>
      <c r="O9" s="19" t="s">
        <v>177</v>
      </c>
      <c r="P9" s="1"/>
      <c r="Q9" s="1"/>
      <c r="R9" s="1"/>
      <c r="S9" s="1"/>
      <c r="T9" s="1"/>
    </row>
    <row r="10" spans="1:20" x14ac:dyDescent="0.3">
      <c r="A10" s="1"/>
      <c r="B10" s="1"/>
      <c r="C10" s="1"/>
      <c r="D10" s="1"/>
      <c r="E10" s="1"/>
      <c r="F10" s="1"/>
      <c r="G10" s="1"/>
      <c r="H10" s="1"/>
      <c r="I10" s="1"/>
      <c r="J10" s="1"/>
      <c r="K10" s="1"/>
      <c r="L10" s="1"/>
      <c r="M10" s="1"/>
      <c r="N10" s="1"/>
      <c r="O10" s="1"/>
      <c r="P10" s="1"/>
      <c r="Q10" s="1"/>
      <c r="R10" s="1"/>
      <c r="S10" s="1"/>
      <c r="T10" s="1"/>
    </row>
    <row r="11" spans="1:20" x14ac:dyDescent="0.3">
      <c r="A11" s="1"/>
      <c r="B11" s="1"/>
      <c r="C11" s="1"/>
      <c r="D11" s="1"/>
      <c r="E11" s="1"/>
      <c r="F11" s="1"/>
      <c r="G11" s="1"/>
      <c r="H11" s="1"/>
      <c r="I11" s="1"/>
      <c r="J11" s="1"/>
      <c r="K11" s="1"/>
      <c r="L11" s="1"/>
      <c r="M11" s="1"/>
      <c r="N11" s="1"/>
      <c r="O11" s="1"/>
      <c r="P11" s="1"/>
      <c r="Q11" s="1"/>
      <c r="R11" s="1"/>
      <c r="S11" s="1"/>
      <c r="T11" s="1"/>
    </row>
    <row r="12" spans="1:20" x14ac:dyDescent="0.3">
      <c r="A12" s="1"/>
      <c r="B12" s="1"/>
      <c r="C12" s="1"/>
      <c r="D12" s="1"/>
      <c r="E12" s="1"/>
      <c r="F12" s="1"/>
      <c r="G12" s="1"/>
      <c r="H12" s="1"/>
      <c r="I12" s="1"/>
      <c r="J12" s="1"/>
      <c r="K12" s="1"/>
      <c r="L12" s="1"/>
      <c r="M12" s="1"/>
      <c r="N12" s="1"/>
      <c r="O12" s="1"/>
      <c r="P12" s="1"/>
      <c r="Q12" s="1"/>
      <c r="R12" s="1"/>
      <c r="S12" s="1"/>
      <c r="T12" s="1"/>
    </row>
    <row r="13" spans="1:20" x14ac:dyDescent="0.3">
      <c r="A13" s="1"/>
      <c r="B13" s="1"/>
      <c r="C13" s="1"/>
      <c r="D13" s="1"/>
      <c r="E13" s="1"/>
      <c r="F13" s="1"/>
      <c r="G13" s="1"/>
      <c r="H13" s="1"/>
      <c r="I13" s="1"/>
      <c r="J13" s="1"/>
      <c r="K13" s="1"/>
      <c r="L13" s="1"/>
      <c r="M13" s="1"/>
      <c r="N13" s="1"/>
      <c r="O13" s="1"/>
      <c r="P13" s="1"/>
      <c r="Q13" s="1"/>
      <c r="R13" s="1"/>
      <c r="S13" s="1"/>
      <c r="T13" s="1"/>
    </row>
    <row r="14" spans="1:20" x14ac:dyDescent="0.3">
      <c r="A14" s="1"/>
      <c r="B14" s="1"/>
      <c r="C14" s="1"/>
      <c r="D14" s="1"/>
      <c r="E14" s="1"/>
      <c r="F14" s="1"/>
      <c r="G14" s="1"/>
      <c r="H14" s="1"/>
      <c r="I14" s="1"/>
      <c r="J14" s="1"/>
      <c r="K14" s="1"/>
      <c r="L14" s="1"/>
      <c r="M14" s="1"/>
      <c r="N14" s="1"/>
      <c r="O14" s="1"/>
      <c r="P14" s="1"/>
      <c r="Q14" s="1"/>
      <c r="R14" s="1"/>
      <c r="S14" s="1"/>
      <c r="T14" s="1"/>
    </row>
    <row r="15" spans="1:20" x14ac:dyDescent="0.3">
      <c r="A15" s="1"/>
      <c r="B15" s="1"/>
      <c r="C15" s="1"/>
      <c r="D15" s="1"/>
      <c r="E15" s="1"/>
      <c r="F15" s="1"/>
      <c r="G15" s="1"/>
      <c r="H15" s="1"/>
      <c r="I15" s="1"/>
      <c r="J15" s="1"/>
      <c r="K15" s="1"/>
      <c r="L15" s="1"/>
      <c r="M15" s="1"/>
      <c r="N15" s="1"/>
      <c r="O15" s="1"/>
      <c r="P15" s="1"/>
      <c r="Q15" s="1"/>
      <c r="R15" s="1"/>
      <c r="S15" s="1"/>
      <c r="T15" s="1"/>
    </row>
    <row r="16" spans="1:20" ht="21" x14ac:dyDescent="0.4">
      <c r="A16" s="139" t="s">
        <v>166</v>
      </c>
      <c r="B16" s="139"/>
      <c r="C16" s="139"/>
      <c r="D16" s="139"/>
      <c r="E16" s="139"/>
      <c r="F16" s="139"/>
      <c r="G16" s="139"/>
      <c r="H16" s="139"/>
      <c r="I16" s="139"/>
      <c r="J16" s="1"/>
      <c r="K16" s="1"/>
      <c r="L16" s="1"/>
      <c r="M16" s="1"/>
      <c r="N16" s="1"/>
      <c r="O16" s="1"/>
      <c r="P16" s="1"/>
      <c r="Q16" s="1"/>
      <c r="R16" s="1"/>
      <c r="S16" s="1"/>
      <c r="T16" s="1"/>
    </row>
    <row r="17" spans="1:20" ht="21" x14ac:dyDescent="0.4">
      <c r="A17" s="139"/>
      <c r="B17" s="139"/>
      <c r="C17" s="139"/>
      <c r="D17" s="139"/>
      <c r="E17" s="139"/>
      <c r="F17" s="139"/>
      <c r="G17" s="139"/>
      <c r="H17" s="139"/>
      <c r="I17" s="139"/>
      <c r="J17" s="1"/>
      <c r="K17" s="1"/>
      <c r="L17" s="1"/>
      <c r="M17" s="1"/>
      <c r="N17" s="1"/>
      <c r="O17" s="1"/>
      <c r="P17" s="1"/>
      <c r="Q17" s="1"/>
      <c r="R17" s="1"/>
      <c r="S17" s="1"/>
      <c r="T17" s="1"/>
    </row>
    <row r="18" spans="1:20" ht="21" x14ac:dyDescent="0.4">
      <c r="A18" s="139" t="str">
        <f>CONCATENATE("for the year ended 31 December ",'R&amp;P Account'!$D$8)</f>
        <v>for the year ended 31 December 2025</v>
      </c>
      <c r="B18" s="139"/>
      <c r="C18" s="139"/>
      <c r="D18" s="139"/>
      <c r="E18" s="139"/>
      <c r="F18" s="139"/>
      <c r="G18" s="139"/>
      <c r="H18" s="139"/>
      <c r="I18" s="139"/>
      <c r="J18" s="1"/>
      <c r="K18" s="1"/>
      <c r="L18" s="19" t="s">
        <v>178</v>
      </c>
      <c r="M18" s="1"/>
      <c r="N18" s="1"/>
      <c r="O18" s="1"/>
      <c r="P18" s="1"/>
      <c r="Q18" s="1"/>
      <c r="R18" s="1"/>
      <c r="S18" s="1"/>
      <c r="T18" s="1"/>
    </row>
    <row r="19" spans="1:20" ht="21" x14ac:dyDescent="0.4">
      <c r="A19" s="139"/>
      <c r="B19" s="139"/>
      <c r="C19" s="139"/>
      <c r="D19" s="139"/>
      <c r="E19" s="139"/>
      <c r="F19" s="139"/>
      <c r="G19" s="139"/>
      <c r="H19" s="139"/>
      <c r="I19" s="139"/>
      <c r="J19" s="1"/>
      <c r="K19" s="1"/>
      <c r="L19" s="1"/>
      <c r="M19" s="1"/>
      <c r="N19" s="1"/>
      <c r="O19" s="1"/>
      <c r="P19" s="1"/>
      <c r="Q19" s="1"/>
      <c r="R19" s="1"/>
      <c r="S19" s="1"/>
      <c r="T19" s="1"/>
    </row>
    <row r="20" spans="1:20" ht="20.399999999999999" x14ac:dyDescent="0.35">
      <c r="A20" s="1"/>
      <c r="B20" s="1"/>
      <c r="C20" s="1"/>
      <c r="D20" s="1"/>
      <c r="E20" s="4"/>
      <c r="F20" s="1"/>
      <c r="G20" s="1"/>
      <c r="H20" s="1"/>
      <c r="I20" s="1"/>
      <c r="J20" s="1"/>
      <c r="K20" s="1"/>
      <c r="L20" s="1"/>
      <c r="M20" s="1"/>
      <c r="N20" s="1"/>
      <c r="O20" s="1"/>
      <c r="P20" s="1"/>
      <c r="Q20" s="1"/>
      <c r="R20" s="1"/>
      <c r="S20" s="1"/>
      <c r="T20" s="1"/>
    </row>
    <row r="21" spans="1:20" x14ac:dyDescent="0.3">
      <c r="A21" s="1"/>
      <c r="B21" s="1"/>
      <c r="C21" s="1"/>
      <c r="D21" s="1"/>
      <c r="E21" s="1"/>
      <c r="F21" s="1"/>
      <c r="G21" s="1"/>
      <c r="H21" s="1"/>
      <c r="I21" s="1"/>
      <c r="J21" s="1"/>
      <c r="K21" s="1"/>
      <c r="L21" s="1"/>
      <c r="M21" s="1"/>
      <c r="N21" s="1"/>
      <c r="O21" s="1"/>
      <c r="P21" s="1"/>
      <c r="Q21" s="1"/>
      <c r="R21" s="1"/>
      <c r="S21" s="1"/>
      <c r="T21" s="1"/>
    </row>
    <row r="22" spans="1:20" x14ac:dyDescent="0.3">
      <c r="J22" s="1"/>
      <c r="K22" s="1"/>
      <c r="L22" s="1"/>
      <c r="M22" s="1"/>
      <c r="N22" s="1"/>
      <c r="O22" s="1"/>
      <c r="P22" s="1"/>
      <c r="Q22" s="1"/>
      <c r="R22" s="1"/>
      <c r="S22" s="1"/>
      <c r="T22" s="1"/>
    </row>
    <row r="23" spans="1:20" ht="21" x14ac:dyDescent="0.4">
      <c r="A23" s="139"/>
      <c r="B23" s="139"/>
      <c r="C23" s="139"/>
      <c r="D23" s="139"/>
      <c r="E23" s="139"/>
      <c r="F23" s="139"/>
      <c r="G23" s="139"/>
      <c r="H23" s="139"/>
      <c r="I23" s="139"/>
      <c r="J23" s="1"/>
      <c r="K23" s="1"/>
      <c r="L23" s="1"/>
      <c r="M23" s="1"/>
      <c r="N23" s="1"/>
      <c r="O23" s="1"/>
      <c r="P23" s="1"/>
      <c r="Q23" s="1"/>
      <c r="R23" s="1"/>
      <c r="S23" s="1"/>
      <c r="T23" s="1"/>
    </row>
    <row r="24" spans="1:20" ht="20.399999999999999" x14ac:dyDescent="0.35">
      <c r="A24" s="4"/>
      <c r="B24" s="4"/>
      <c r="C24" s="4"/>
      <c r="D24" s="4"/>
      <c r="E24" s="4"/>
      <c r="F24" s="4"/>
      <c r="G24" s="4"/>
      <c r="H24" s="4"/>
      <c r="I24" s="4"/>
      <c r="J24" s="1"/>
      <c r="K24" s="1"/>
      <c r="L24" s="1"/>
      <c r="M24" s="1"/>
      <c r="N24" s="1"/>
      <c r="O24" s="1"/>
      <c r="P24" s="1"/>
      <c r="Q24" s="1"/>
      <c r="R24" s="1"/>
      <c r="S24" s="1"/>
      <c r="T24" s="1"/>
    </row>
    <row r="25" spans="1:20" ht="20.399999999999999" x14ac:dyDescent="0.35">
      <c r="A25" s="4"/>
      <c r="B25" s="4"/>
      <c r="C25" s="4"/>
      <c r="D25" s="4"/>
      <c r="E25" s="4"/>
      <c r="F25" s="4"/>
      <c r="G25" s="4"/>
      <c r="H25" s="4"/>
      <c r="I25" s="4"/>
      <c r="J25" s="1"/>
      <c r="K25" s="1"/>
      <c r="L25" s="1"/>
      <c r="M25" s="1"/>
      <c r="N25" s="1"/>
      <c r="O25" s="1"/>
      <c r="P25" s="1"/>
      <c r="Q25" s="1"/>
      <c r="R25" s="1"/>
      <c r="S25" s="1"/>
      <c r="T25" s="1"/>
    </row>
    <row r="26" spans="1:20" ht="20.399999999999999" x14ac:dyDescent="0.35">
      <c r="A26" s="4"/>
      <c r="B26" s="4"/>
      <c r="C26" s="4"/>
      <c r="D26" s="4"/>
      <c r="E26" s="4"/>
      <c r="F26" s="4"/>
      <c r="G26" s="4"/>
      <c r="H26" s="4"/>
      <c r="I26" s="4"/>
      <c r="J26" s="1"/>
      <c r="K26" s="1"/>
      <c r="L26" s="1"/>
      <c r="M26" s="1"/>
      <c r="N26" s="1"/>
      <c r="O26" s="1"/>
      <c r="P26" s="1"/>
      <c r="Q26" s="1"/>
      <c r="R26" s="1"/>
      <c r="S26" s="1"/>
      <c r="T26" s="1"/>
    </row>
    <row r="27" spans="1:20" ht="25.2" x14ac:dyDescent="0.6">
      <c r="A27" s="5"/>
      <c r="B27" s="5"/>
      <c r="C27" s="5"/>
      <c r="D27" s="5"/>
      <c r="E27" s="5"/>
      <c r="F27" s="5"/>
      <c r="G27" s="5"/>
      <c r="H27" s="5"/>
      <c r="I27" s="5"/>
      <c r="J27" s="6"/>
      <c r="K27" s="6"/>
      <c r="L27" s="6"/>
      <c r="M27" s="6"/>
      <c r="N27" s="6"/>
      <c r="O27" s="6"/>
      <c r="P27" s="6"/>
      <c r="Q27" s="6"/>
      <c r="R27" s="6"/>
      <c r="S27" s="6"/>
      <c r="T27" s="6"/>
    </row>
    <row r="28" spans="1:20" ht="24.75" customHeight="1" x14ac:dyDescent="0.45">
      <c r="A28" s="135" t="s">
        <v>216</v>
      </c>
      <c r="B28" s="135"/>
      <c r="C28" s="135"/>
      <c r="D28" s="135"/>
      <c r="E28" s="135"/>
      <c r="F28" s="135"/>
      <c r="G28" s="135"/>
      <c r="H28" s="135"/>
      <c r="I28" s="135"/>
      <c r="J28" s="6"/>
      <c r="K28" s="6"/>
      <c r="L28" s="1" t="s">
        <v>174</v>
      </c>
      <c r="M28" s="6"/>
      <c r="N28" s="19" t="s">
        <v>175</v>
      </c>
      <c r="O28" s="6"/>
      <c r="P28" s="6"/>
      <c r="Q28" s="6"/>
      <c r="R28" s="6"/>
      <c r="S28" s="6"/>
      <c r="T28" s="6"/>
    </row>
    <row r="29" spans="1:20" ht="25.2" x14ac:dyDescent="0.6">
      <c r="A29" s="136" t="s">
        <v>217</v>
      </c>
      <c r="B29" s="137"/>
      <c r="C29" s="137"/>
      <c r="D29" s="137"/>
      <c r="E29" s="137"/>
      <c r="F29" s="137"/>
      <c r="G29" s="137"/>
      <c r="H29" s="137"/>
      <c r="I29" s="137"/>
      <c r="J29" s="6"/>
      <c r="K29" s="6"/>
      <c r="L29" s="1" t="s">
        <v>174</v>
      </c>
      <c r="M29" s="6"/>
      <c r="N29" s="19" t="s">
        <v>176</v>
      </c>
      <c r="O29" s="6"/>
      <c r="P29" s="6"/>
      <c r="Q29" s="6"/>
      <c r="R29" s="6"/>
      <c r="S29" s="6"/>
      <c r="T29" s="6"/>
    </row>
    <row r="30" spans="1:20" ht="17.399999999999999" x14ac:dyDescent="0.45">
      <c r="A30" s="6"/>
      <c r="B30" s="6"/>
      <c r="C30" s="6"/>
      <c r="D30" s="6"/>
      <c r="E30" s="6"/>
      <c r="F30" s="6"/>
      <c r="G30" s="6"/>
      <c r="H30" s="6"/>
      <c r="I30" s="6"/>
      <c r="J30" s="6"/>
      <c r="K30" s="6"/>
      <c r="L30" s="6"/>
      <c r="M30" s="6"/>
      <c r="N30" s="6"/>
      <c r="O30" s="6"/>
      <c r="P30" s="6"/>
      <c r="Q30" s="6"/>
      <c r="R30" s="6"/>
      <c r="S30" s="6"/>
      <c r="T30" s="6"/>
    </row>
    <row r="31" spans="1:20" ht="17.399999999999999" x14ac:dyDescent="0.45">
      <c r="A31" s="6"/>
      <c r="B31" s="6"/>
      <c r="C31" s="6"/>
      <c r="D31" s="6"/>
      <c r="E31" s="6"/>
      <c r="F31" s="6"/>
      <c r="G31" s="6"/>
      <c r="H31" s="6"/>
      <c r="I31" s="6"/>
      <c r="J31" s="6"/>
      <c r="K31" s="6"/>
      <c r="L31" s="6"/>
      <c r="M31" s="6"/>
      <c r="N31" s="6"/>
      <c r="O31" s="6"/>
      <c r="P31" s="6"/>
      <c r="Q31" s="6"/>
      <c r="R31" s="6"/>
      <c r="S31" s="6"/>
      <c r="T31" s="6"/>
    </row>
    <row r="32" spans="1:20" ht="17.399999999999999" x14ac:dyDescent="0.45">
      <c r="A32" s="6"/>
      <c r="B32" s="6"/>
      <c r="C32" s="6"/>
      <c r="D32" s="6"/>
      <c r="E32" s="6"/>
      <c r="F32" s="6"/>
      <c r="G32" s="6"/>
      <c r="H32" s="6"/>
      <c r="I32" s="6"/>
      <c r="J32" s="6"/>
      <c r="K32" s="6"/>
      <c r="L32" s="6"/>
      <c r="M32" s="6"/>
      <c r="N32" s="6"/>
      <c r="O32" s="6"/>
      <c r="P32" s="6"/>
      <c r="Q32" s="6"/>
      <c r="R32" s="6"/>
      <c r="S32" s="6"/>
      <c r="T32" s="6"/>
    </row>
    <row r="33" spans="1:20" ht="17.399999999999999" x14ac:dyDescent="0.45">
      <c r="A33" s="6"/>
      <c r="B33" s="6"/>
      <c r="C33" s="6"/>
      <c r="D33" s="6"/>
      <c r="E33" s="6"/>
      <c r="F33" s="6"/>
      <c r="G33" s="6"/>
      <c r="H33" s="6"/>
      <c r="I33" s="6"/>
      <c r="J33" s="6"/>
      <c r="K33" s="6"/>
      <c r="L33" s="6"/>
      <c r="M33" s="6"/>
      <c r="N33" s="6"/>
      <c r="O33" s="6"/>
      <c r="P33" s="6"/>
      <c r="Q33" s="6"/>
      <c r="R33" s="6"/>
      <c r="S33" s="6"/>
      <c r="T33" s="6"/>
    </row>
    <row r="34" spans="1:20" ht="17.399999999999999" x14ac:dyDescent="0.45">
      <c r="A34" s="6"/>
      <c r="B34" s="6"/>
      <c r="C34" s="6"/>
      <c r="D34" s="6"/>
      <c r="E34" s="6"/>
      <c r="F34" s="6"/>
      <c r="G34" s="6"/>
      <c r="H34" s="6"/>
      <c r="I34" s="6"/>
      <c r="J34" s="6"/>
      <c r="K34" s="6"/>
      <c r="L34" s="6"/>
      <c r="M34" s="6"/>
      <c r="N34" s="6"/>
      <c r="O34" s="6"/>
      <c r="P34" s="6"/>
      <c r="Q34" s="6"/>
      <c r="R34" s="6"/>
      <c r="S34" s="6"/>
      <c r="T34" s="6"/>
    </row>
    <row r="43" spans="1:20" ht="18" x14ac:dyDescent="0.35">
      <c r="A43" s="22" t="s">
        <v>179</v>
      </c>
    </row>
    <row r="44" spans="1:20" ht="28.5" customHeight="1" x14ac:dyDescent="0.3">
      <c r="A44" s="12" t="s">
        <v>182</v>
      </c>
    </row>
    <row r="45" spans="1:20" ht="30" customHeight="1" x14ac:dyDescent="0.3">
      <c r="A45" s="142" t="s">
        <v>180</v>
      </c>
      <c r="B45" s="142"/>
      <c r="C45" s="142"/>
      <c r="D45" s="142"/>
      <c r="E45" s="142"/>
      <c r="F45" s="142"/>
      <c r="G45" s="142"/>
      <c r="H45" s="142"/>
      <c r="I45" s="142"/>
    </row>
    <row r="46" spans="1:20" ht="48.75" customHeight="1" x14ac:dyDescent="0.3">
      <c r="A46" s="142" t="s">
        <v>197</v>
      </c>
      <c r="B46" s="142"/>
      <c r="C46" s="142"/>
      <c r="D46" s="142"/>
      <c r="E46" s="142"/>
      <c r="F46" s="142"/>
      <c r="G46" s="142"/>
      <c r="H46" s="142"/>
      <c r="I46" s="142"/>
    </row>
    <row r="47" spans="1:20" ht="31.5" customHeight="1" x14ac:dyDescent="0.3">
      <c r="A47" s="142" t="s">
        <v>198</v>
      </c>
      <c r="B47" s="142"/>
      <c r="C47" s="142"/>
      <c r="D47" s="142"/>
      <c r="E47" s="142"/>
      <c r="F47" s="142"/>
      <c r="G47" s="142"/>
      <c r="H47" s="142"/>
      <c r="I47" s="142"/>
    </row>
    <row r="48" spans="1:20" x14ac:dyDescent="0.3">
      <c r="A48" s="142" t="s">
        <v>181</v>
      </c>
      <c r="B48" s="142"/>
      <c r="C48" s="142"/>
      <c r="D48" s="142"/>
      <c r="E48" s="142"/>
      <c r="F48" s="142"/>
      <c r="G48" s="142"/>
      <c r="H48" s="142"/>
      <c r="I48" s="142"/>
    </row>
    <row r="49" spans="1:9" ht="63" customHeight="1" x14ac:dyDescent="0.3">
      <c r="A49" s="142" t="s">
        <v>193</v>
      </c>
      <c r="B49" s="142"/>
      <c r="C49" s="142"/>
      <c r="D49" s="142"/>
      <c r="E49" s="142"/>
      <c r="F49" s="142"/>
      <c r="G49" s="142"/>
      <c r="H49" s="142"/>
      <c r="I49" s="142"/>
    </row>
    <row r="51" spans="1:9" x14ac:dyDescent="0.3">
      <c r="A51" s="12" t="s">
        <v>183</v>
      </c>
    </row>
    <row r="52" spans="1:9" ht="62.25" customHeight="1" x14ac:dyDescent="0.3">
      <c r="A52" s="142" t="s">
        <v>212</v>
      </c>
      <c r="B52" s="142"/>
      <c r="C52" s="142"/>
      <c r="D52" s="142"/>
      <c r="E52" s="142"/>
      <c r="F52" s="142"/>
      <c r="G52" s="142"/>
      <c r="H52" s="142"/>
      <c r="I52" s="142"/>
    </row>
    <row r="54" spans="1:9" x14ac:dyDescent="0.3">
      <c r="A54" s="12" t="s">
        <v>187</v>
      </c>
    </row>
    <row r="55" spans="1:9" ht="29.25" customHeight="1" x14ac:dyDescent="0.3">
      <c r="A55" s="142" t="s">
        <v>188</v>
      </c>
      <c r="B55" s="142"/>
      <c r="C55" s="142"/>
      <c r="D55" s="142"/>
      <c r="E55" s="142"/>
      <c r="F55" s="142"/>
      <c r="G55" s="142"/>
      <c r="H55" s="142"/>
      <c r="I55" s="142"/>
    </row>
    <row r="56" spans="1:9" ht="47.25" customHeight="1" x14ac:dyDescent="0.3">
      <c r="A56" s="142" t="s">
        <v>189</v>
      </c>
      <c r="B56" s="142"/>
      <c r="C56" s="142"/>
      <c r="D56" s="142"/>
      <c r="E56" s="142"/>
      <c r="F56" s="142"/>
      <c r="G56" s="142"/>
      <c r="H56" s="142"/>
      <c r="I56" s="142"/>
    </row>
    <row r="58" spans="1:9" x14ac:dyDescent="0.3">
      <c r="A58" s="12" t="s">
        <v>190</v>
      </c>
    </row>
    <row r="59" spans="1:9" ht="44.25" customHeight="1" x14ac:dyDescent="0.3">
      <c r="A59" s="142" t="s">
        <v>191</v>
      </c>
      <c r="B59" s="142"/>
      <c r="C59" s="142"/>
      <c r="D59" s="142"/>
      <c r="E59" s="142"/>
      <c r="F59" s="142"/>
      <c r="G59" s="142"/>
      <c r="H59" s="142"/>
      <c r="I59" s="142"/>
    </row>
    <row r="61" spans="1:9" x14ac:dyDescent="0.3">
      <c r="A61" s="12" t="s">
        <v>192</v>
      </c>
    </row>
    <row r="62" spans="1:9" ht="48" customHeight="1" x14ac:dyDescent="0.3">
      <c r="A62" s="142" t="s">
        <v>199</v>
      </c>
      <c r="B62" s="142"/>
      <c r="C62" s="142"/>
      <c r="D62" s="142"/>
      <c r="E62" s="142"/>
      <c r="F62" s="142"/>
      <c r="G62" s="142"/>
      <c r="H62" s="142"/>
      <c r="I62" s="142"/>
    </row>
    <row r="64" spans="1:9" x14ac:dyDescent="0.3">
      <c r="A64" s="12" t="s">
        <v>194</v>
      </c>
    </row>
    <row r="65" spans="1:9" ht="30" customHeight="1" x14ac:dyDescent="0.3">
      <c r="A65" s="142" t="s">
        <v>208</v>
      </c>
      <c r="B65" s="142"/>
      <c r="C65" s="142"/>
      <c r="D65" s="142"/>
      <c r="E65" s="142"/>
      <c r="F65" s="142"/>
      <c r="G65" s="142"/>
      <c r="H65" s="142"/>
      <c r="I65" s="142"/>
    </row>
    <row r="66" spans="1:9" ht="30" customHeight="1" x14ac:dyDescent="0.3">
      <c r="A66" s="142" t="s">
        <v>195</v>
      </c>
      <c r="B66" s="142"/>
      <c r="C66" s="142"/>
      <c r="D66" s="142"/>
      <c r="E66" s="142"/>
      <c r="F66" s="142"/>
      <c r="G66" s="142"/>
      <c r="H66" s="142"/>
      <c r="I66" s="142"/>
    </row>
    <row r="67" spans="1:9" ht="29.25" customHeight="1" x14ac:dyDescent="0.3">
      <c r="A67" s="142" t="s">
        <v>196</v>
      </c>
      <c r="B67" s="142"/>
      <c r="C67" s="142"/>
      <c r="D67" s="142"/>
      <c r="E67" s="142"/>
      <c r="F67" s="142"/>
      <c r="G67" s="142"/>
      <c r="H67" s="142"/>
      <c r="I67" s="142"/>
    </row>
    <row r="69" spans="1:9" x14ac:dyDescent="0.3">
      <c r="A69" s="12" t="s">
        <v>200</v>
      </c>
    </row>
    <row r="70" spans="1:9" ht="49.5" customHeight="1" x14ac:dyDescent="0.3">
      <c r="A70" s="141" t="s">
        <v>204</v>
      </c>
      <c r="B70" s="141"/>
      <c r="C70" s="141"/>
      <c r="D70" s="141"/>
      <c r="E70" s="141"/>
      <c r="F70" s="141"/>
      <c r="G70" s="141"/>
      <c r="H70" s="141"/>
      <c r="I70" s="141"/>
    </row>
    <row r="71" spans="1:9" ht="30.75" customHeight="1" x14ac:dyDescent="0.3">
      <c r="A71" s="142" t="s">
        <v>203</v>
      </c>
      <c r="B71" s="142"/>
      <c r="C71" s="142"/>
      <c r="D71" s="142"/>
      <c r="E71" s="142"/>
      <c r="F71" s="142"/>
      <c r="G71" s="142"/>
      <c r="H71" s="142"/>
      <c r="I71" s="142"/>
    </row>
    <row r="73" spans="1:9" x14ac:dyDescent="0.3">
      <c r="A73" s="12" t="s">
        <v>207</v>
      </c>
    </row>
    <row r="74" spans="1:9" ht="50.25" customHeight="1" x14ac:dyDescent="0.3">
      <c r="A74" s="142" t="s">
        <v>209</v>
      </c>
      <c r="B74" s="142"/>
      <c r="C74" s="142"/>
      <c r="D74" s="142"/>
      <c r="E74" s="142"/>
      <c r="F74" s="142"/>
      <c r="G74" s="142"/>
      <c r="H74" s="142"/>
      <c r="I74" s="142"/>
    </row>
  </sheetData>
  <mergeCells count="25">
    <mergeCell ref="A70:I70"/>
    <mergeCell ref="A71:I71"/>
    <mergeCell ref="A74:I74"/>
    <mergeCell ref="A45:I45"/>
    <mergeCell ref="A46:I46"/>
    <mergeCell ref="A47:I47"/>
    <mergeCell ref="A48:I48"/>
    <mergeCell ref="A49:I49"/>
    <mergeCell ref="A65:I65"/>
    <mergeCell ref="A66:I66"/>
    <mergeCell ref="A67:I67"/>
    <mergeCell ref="A52:I52"/>
    <mergeCell ref="A56:I56"/>
    <mergeCell ref="A55:I55"/>
    <mergeCell ref="A59:I59"/>
    <mergeCell ref="A62:I62"/>
    <mergeCell ref="A28:I28"/>
    <mergeCell ref="A29:I29"/>
    <mergeCell ref="A3:I3"/>
    <mergeCell ref="A17:I17"/>
    <mergeCell ref="A19:I19"/>
    <mergeCell ref="A16:I16"/>
    <mergeCell ref="A23:I23"/>
    <mergeCell ref="A9:I9"/>
    <mergeCell ref="A18:I18"/>
  </mergeCell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7"/>
  <sheetViews>
    <sheetView topLeftCell="A28" zoomScaleNormal="100" workbookViewId="0">
      <selection activeCell="L44" sqref="L44"/>
    </sheetView>
  </sheetViews>
  <sheetFormatPr defaultRowHeight="14.4" outlineLevelRow="1" x14ac:dyDescent="0.3"/>
  <sheetData>
    <row r="1" spans="1:16" ht="18" x14ac:dyDescent="0.35">
      <c r="A1" s="21" t="str">
        <f>'cover and guidance'!$A$9</f>
        <v>Kilsyth Anderson Church of Scotland</v>
      </c>
      <c r="B1" s="9"/>
      <c r="C1" s="9"/>
      <c r="D1" s="9"/>
      <c r="E1" s="9"/>
      <c r="F1" s="9"/>
      <c r="G1" s="9"/>
      <c r="H1" s="9"/>
      <c r="I1" s="9"/>
    </row>
    <row r="2" spans="1:16" ht="18" x14ac:dyDescent="0.35">
      <c r="A2" s="10" t="s">
        <v>0</v>
      </c>
      <c r="B2" s="10"/>
      <c r="C2" s="10"/>
      <c r="D2" s="10"/>
      <c r="E2" s="20"/>
      <c r="F2" s="15"/>
      <c r="G2" s="9"/>
      <c r="H2" s="9"/>
      <c r="I2" s="9"/>
    </row>
    <row r="3" spans="1:16" ht="18" x14ac:dyDescent="0.35">
      <c r="A3" s="10"/>
      <c r="B3" s="10"/>
      <c r="C3" s="10"/>
      <c r="D3" s="10"/>
      <c r="E3" s="20"/>
      <c r="F3" s="15"/>
      <c r="G3" s="9"/>
      <c r="H3" s="9"/>
      <c r="I3" s="9"/>
    </row>
    <row r="4" spans="1:16" ht="18" x14ac:dyDescent="0.35">
      <c r="A4" s="3"/>
      <c r="B4" s="3"/>
      <c r="C4" s="3"/>
      <c r="D4" s="3"/>
      <c r="E4" s="9"/>
      <c r="F4" s="9"/>
      <c r="G4" s="9"/>
      <c r="H4" s="9"/>
      <c r="I4" s="9"/>
    </row>
    <row r="5" spans="1:16" ht="15.75" customHeight="1" x14ac:dyDescent="0.35">
      <c r="A5" s="15" t="s">
        <v>1</v>
      </c>
      <c r="B5" s="15"/>
      <c r="C5" s="9"/>
      <c r="D5" s="9"/>
      <c r="F5" t="str">
        <f>'cover and guidance'!A9</f>
        <v>Kilsyth Anderson Church of Scotland</v>
      </c>
      <c r="G5" s="9"/>
      <c r="H5" s="9"/>
      <c r="I5" s="3"/>
    </row>
    <row r="6" spans="1:16" ht="15.75" customHeight="1" x14ac:dyDescent="0.35">
      <c r="A6" s="15" t="s">
        <v>2</v>
      </c>
      <c r="B6" s="15"/>
      <c r="C6" s="15"/>
      <c r="D6" s="15"/>
      <c r="E6" s="15"/>
      <c r="F6" t="str">
        <f>RIGHT('cover and guidance'!A29,8)</f>
        <v>SC009866</v>
      </c>
      <c r="G6" s="15"/>
      <c r="H6" s="9"/>
      <c r="I6" s="3"/>
    </row>
    <row r="7" spans="1:16" ht="15.75" customHeight="1" x14ac:dyDescent="0.35">
      <c r="A7" s="15" t="s">
        <v>3</v>
      </c>
      <c r="B7" s="15"/>
      <c r="C7" s="15"/>
      <c r="D7" s="15"/>
      <c r="E7" s="15"/>
      <c r="F7" t="str">
        <f>RIGHT('cover and guidance'!A28,6)</f>
        <v>160865</v>
      </c>
      <c r="G7" s="15"/>
      <c r="H7" s="9"/>
      <c r="I7" s="3"/>
      <c r="K7" s="142" t="s">
        <v>214</v>
      </c>
      <c r="L7" s="142"/>
      <c r="M7" s="142"/>
      <c r="N7" s="142"/>
      <c r="O7" s="142"/>
      <c r="P7" s="142"/>
    </row>
    <row r="8" spans="1:16" ht="15.75" customHeight="1" x14ac:dyDescent="0.3">
      <c r="A8" s="15" t="s">
        <v>4</v>
      </c>
      <c r="B8" s="15"/>
      <c r="C8" s="15"/>
      <c r="D8" s="15"/>
      <c r="E8" s="15"/>
      <c r="F8" s="81" t="s">
        <v>258</v>
      </c>
      <c r="G8" s="15"/>
      <c r="H8" s="15"/>
      <c r="I8" s="3"/>
      <c r="K8" s="142"/>
      <c r="L8" s="142"/>
      <c r="M8" s="142"/>
      <c r="N8" s="142"/>
      <c r="O8" s="142"/>
      <c r="P8" s="142"/>
    </row>
    <row r="9" spans="1:16" ht="15.75" customHeight="1" x14ac:dyDescent="0.3">
      <c r="A9" s="15"/>
      <c r="B9" s="15"/>
      <c r="C9" s="15"/>
      <c r="D9" s="15"/>
      <c r="E9" s="15"/>
      <c r="F9" s="15" t="s">
        <v>259</v>
      </c>
      <c r="G9" s="15"/>
      <c r="H9" s="15"/>
      <c r="I9" s="3"/>
      <c r="K9" s="142"/>
      <c r="L9" s="142"/>
      <c r="M9" s="142"/>
      <c r="N9" s="142"/>
      <c r="O9" s="142"/>
      <c r="P9" s="142"/>
    </row>
    <row r="10" spans="1:16" ht="15.75" customHeight="1" x14ac:dyDescent="0.3">
      <c r="A10" s="15"/>
      <c r="B10" s="15"/>
      <c r="C10" s="15"/>
      <c r="D10" s="15"/>
      <c r="E10" s="15"/>
      <c r="F10" s="81" t="s">
        <v>260</v>
      </c>
      <c r="G10" s="15"/>
      <c r="H10" s="15"/>
      <c r="I10" s="3"/>
      <c r="K10" s="142"/>
      <c r="L10" s="142"/>
      <c r="M10" s="142"/>
      <c r="N10" s="142"/>
      <c r="O10" s="142"/>
      <c r="P10" s="142"/>
    </row>
    <row r="11" spans="1:16" ht="15.75" customHeight="1" x14ac:dyDescent="0.3">
      <c r="A11" s="15"/>
      <c r="B11" s="15"/>
      <c r="C11" s="15"/>
      <c r="D11" s="15"/>
      <c r="E11" s="15"/>
      <c r="F11" s="81" t="s">
        <v>261</v>
      </c>
      <c r="G11" s="15"/>
      <c r="H11" s="15"/>
      <c r="I11" s="3"/>
      <c r="K11" s="142"/>
      <c r="L11" s="142"/>
      <c r="M11" s="142"/>
      <c r="N11" s="142"/>
      <c r="O11" s="142"/>
      <c r="P11" s="142"/>
    </row>
    <row r="12" spans="1:16" hidden="1" outlineLevel="1" x14ac:dyDescent="0.3">
      <c r="A12" s="12" t="s">
        <v>95</v>
      </c>
      <c r="I12" s="1"/>
    </row>
    <row r="13" spans="1:16" ht="15.75" customHeight="1" collapsed="1" x14ac:dyDescent="0.35">
      <c r="A13" s="15"/>
      <c r="B13" s="9"/>
      <c r="C13" s="9"/>
      <c r="D13" s="9"/>
      <c r="E13" s="9"/>
      <c r="F13" s="9"/>
      <c r="G13" s="9"/>
      <c r="H13" s="9"/>
      <c r="I13" s="9"/>
    </row>
    <row r="14" spans="1:16" ht="18" x14ac:dyDescent="0.35">
      <c r="A14" s="20" t="s">
        <v>5</v>
      </c>
      <c r="B14" s="9"/>
      <c r="C14" s="9"/>
      <c r="D14" s="9"/>
      <c r="E14" s="9"/>
      <c r="F14" s="9"/>
      <c r="G14" s="9"/>
      <c r="H14" s="9"/>
      <c r="I14" s="3"/>
    </row>
    <row r="15" spans="1:16" hidden="1" outlineLevel="1" x14ac:dyDescent="0.3">
      <c r="A15" s="18" t="s">
        <v>6</v>
      </c>
      <c r="B15" s="18"/>
      <c r="C15" s="18"/>
      <c r="D15" s="18"/>
      <c r="E15" s="18"/>
      <c r="F15" s="18"/>
      <c r="G15" s="18"/>
      <c r="H15" s="18"/>
      <c r="I15" s="19"/>
    </row>
    <row r="16" spans="1:16" hidden="1" outlineLevel="1" x14ac:dyDescent="0.3">
      <c r="A16" s="18" t="s">
        <v>8</v>
      </c>
      <c r="B16" s="18"/>
      <c r="C16" s="18"/>
      <c r="D16" s="18"/>
      <c r="E16" s="18"/>
      <c r="F16" s="18"/>
      <c r="G16" s="18"/>
      <c r="H16" s="18"/>
      <c r="I16" s="19"/>
    </row>
    <row r="17" spans="1:9" hidden="1" outlineLevel="1" x14ac:dyDescent="0.3">
      <c r="A17" s="18" t="s">
        <v>96</v>
      </c>
      <c r="B17" s="18"/>
      <c r="C17" s="18"/>
      <c r="D17" s="18"/>
      <c r="E17" s="18"/>
      <c r="F17" s="18"/>
      <c r="G17" s="18"/>
      <c r="H17" s="18"/>
      <c r="I17" s="18"/>
    </row>
    <row r="18" spans="1:9" hidden="1" outlineLevel="1" x14ac:dyDescent="0.3">
      <c r="A18" s="18" t="s">
        <v>158</v>
      </c>
      <c r="B18" s="18"/>
      <c r="C18" s="18"/>
      <c r="D18" s="18"/>
      <c r="E18" s="18"/>
      <c r="F18" s="18"/>
      <c r="G18" s="18"/>
      <c r="H18" s="18"/>
      <c r="I18" s="19"/>
    </row>
    <row r="19" spans="1:9" ht="8.25" customHeight="1" collapsed="1" x14ac:dyDescent="0.3">
      <c r="A19" s="18"/>
      <c r="B19" s="18"/>
      <c r="C19" s="18"/>
      <c r="D19" s="18"/>
      <c r="E19" s="18"/>
      <c r="F19" s="18"/>
      <c r="G19" s="18"/>
      <c r="H19" s="18"/>
      <c r="I19" s="19"/>
    </row>
    <row r="20" spans="1:9" ht="15.6" x14ac:dyDescent="0.3">
      <c r="A20" s="20" t="s">
        <v>7</v>
      </c>
      <c r="B20" s="18"/>
      <c r="C20" s="18"/>
      <c r="D20" s="18"/>
      <c r="E20" s="18"/>
      <c r="F20" s="18"/>
      <c r="G20" s="18"/>
      <c r="H20" s="18"/>
      <c r="I20" s="19"/>
    </row>
    <row r="21" spans="1:9" x14ac:dyDescent="0.3">
      <c r="A21" s="81"/>
      <c r="B21" s="81"/>
      <c r="C21" s="81"/>
      <c r="D21" t="s">
        <v>263</v>
      </c>
      <c r="E21" s="81"/>
      <c r="F21" t="s">
        <v>264</v>
      </c>
      <c r="G21" s="81"/>
      <c r="H21" t="s">
        <v>275</v>
      </c>
      <c r="I21" s="82"/>
    </row>
    <row r="22" spans="1:9" x14ac:dyDescent="0.3">
      <c r="A22" s="81"/>
      <c r="B22" s="81"/>
      <c r="C22" s="81"/>
      <c r="D22" t="s">
        <v>266</v>
      </c>
      <c r="E22" s="81"/>
      <c r="F22" t="s">
        <v>271</v>
      </c>
      <c r="G22" s="81"/>
      <c r="H22" t="s">
        <v>403</v>
      </c>
      <c r="I22" s="82"/>
    </row>
    <row r="23" spans="1:9" x14ac:dyDescent="0.3">
      <c r="A23" s="81"/>
      <c r="B23" s="81"/>
      <c r="C23" s="81"/>
      <c r="D23" t="s">
        <v>267</v>
      </c>
      <c r="E23" s="81"/>
      <c r="F23" t="s">
        <v>272</v>
      </c>
      <c r="G23" s="81"/>
      <c r="H23" t="s">
        <v>280</v>
      </c>
      <c r="I23" s="82"/>
    </row>
    <row r="24" spans="1:9" x14ac:dyDescent="0.3">
      <c r="A24" s="81"/>
      <c r="B24" s="81"/>
      <c r="C24" s="81"/>
      <c r="D24" t="s">
        <v>268</v>
      </c>
      <c r="E24" s="81"/>
      <c r="F24" t="s">
        <v>273</v>
      </c>
      <c r="G24" s="81"/>
      <c r="H24" t="s">
        <v>265</v>
      </c>
      <c r="I24" s="82"/>
    </row>
    <row r="25" spans="1:9" x14ac:dyDescent="0.3">
      <c r="A25" s="81"/>
      <c r="B25" s="81"/>
      <c r="C25" s="81"/>
      <c r="D25" t="s">
        <v>269</v>
      </c>
      <c r="E25" s="81"/>
      <c r="F25" t="s">
        <v>274</v>
      </c>
      <c r="G25" s="81"/>
      <c r="H25" t="s">
        <v>278</v>
      </c>
      <c r="I25" s="82"/>
    </row>
    <row r="26" spans="1:9" x14ac:dyDescent="0.3">
      <c r="A26" s="81"/>
      <c r="B26" s="81"/>
      <c r="C26" s="81"/>
      <c r="D26" t="s">
        <v>270</v>
      </c>
      <c r="E26" s="81"/>
      <c r="F26" t="s">
        <v>276</v>
      </c>
      <c r="G26" s="81"/>
      <c r="H26" t="s">
        <v>277</v>
      </c>
      <c r="I26" s="82"/>
    </row>
    <row r="27" spans="1:9" x14ac:dyDescent="0.3">
      <c r="D27" t="s">
        <v>262</v>
      </c>
      <c r="F27" t="s">
        <v>279</v>
      </c>
      <c r="H27" t="s">
        <v>404</v>
      </c>
      <c r="I27" s="18"/>
    </row>
    <row r="28" spans="1:9" ht="15" customHeight="1" x14ac:dyDescent="0.35">
      <c r="A28" s="9"/>
      <c r="B28" s="9"/>
      <c r="C28" s="9"/>
      <c r="D28" s="9"/>
      <c r="E28" s="9"/>
      <c r="F28" s="9"/>
      <c r="G28" s="9"/>
      <c r="H28" s="9"/>
      <c r="I28" s="3"/>
    </row>
    <row r="29" spans="1:9" ht="15.75" customHeight="1" x14ac:dyDescent="0.3">
      <c r="A29" s="83"/>
      <c r="B29" s="83"/>
      <c r="C29" s="83"/>
      <c r="D29" s="83"/>
      <c r="E29" s="83"/>
      <c r="F29" s="83"/>
      <c r="G29" s="83"/>
      <c r="H29" s="83"/>
      <c r="I29" s="84"/>
    </row>
    <row r="30" spans="1:9" ht="15.75" customHeight="1" x14ac:dyDescent="0.3">
      <c r="A30" s="83"/>
      <c r="B30" s="83"/>
      <c r="C30" s="83"/>
      <c r="D30" s="83"/>
      <c r="E30" s="83"/>
      <c r="F30" s="83"/>
      <c r="G30" s="83"/>
      <c r="H30" s="83"/>
      <c r="I30" s="84"/>
    </row>
    <row r="31" spans="1:9" ht="15.75" customHeight="1" x14ac:dyDescent="0.35">
      <c r="A31" s="20" t="s">
        <v>100</v>
      </c>
      <c r="B31" s="9"/>
      <c r="C31" s="9"/>
      <c r="D31" s="9"/>
      <c r="E31" s="15"/>
      <c r="F31" s="15"/>
      <c r="G31" s="15"/>
      <c r="H31" s="15"/>
      <c r="I31" s="2"/>
    </row>
    <row r="32" spans="1:9" ht="15.75" customHeight="1" x14ac:dyDescent="0.35">
      <c r="A32" s="95" t="s">
        <v>281</v>
      </c>
      <c r="D32" t="s">
        <v>282</v>
      </c>
      <c r="F32" s="9"/>
      <c r="H32" s="9"/>
      <c r="I32" s="3"/>
    </row>
    <row r="33" spans="1:12" ht="15.75" customHeight="1" x14ac:dyDescent="0.35">
      <c r="A33" t="s">
        <v>284</v>
      </c>
      <c r="D33" t="s">
        <v>405</v>
      </c>
      <c r="F33" s="9"/>
      <c r="G33" s="9"/>
      <c r="H33" s="9"/>
      <c r="I33" s="3"/>
    </row>
    <row r="34" spans="1:12" ht="15.75" customHeight="1" x14ac:dyDescent="0.35">
      <c r="A34" t="s">
        <v>9</v>
      </c>
      <c r="D34" t="s">
        <v>283</v>
      </c>
      <c r="F34" s="9"/>
      <c r="G34" s="9"/>
      <c r="H34" s="9"/>
      <c r="I34" s="3"/>
    </row>
    <row r="35" spans="1:12" ht="15.75" customHeight="1" x14ac:dyDescent="0.35">
      <c r="A35" t="s">
        <v>10</v>
      </c>
      <c r="D35" t="s">
        <v>283</v>
      </c>
      <c r="F35" s="9"/>
      <c r="G35" s="9"/>
      <c r="H35" s="9"/>
      <c r="I35" s="3"/>
    </row>
    <row r="37" spans="1:12" ht="15.75" customHeight="1" x14ac:dyDescent="0.35">
      <c r="A37" s="9"/>
      <c r="B37" s="9"/>
      <c r="C37" s="9"/>
      <c r="D37" s="9"/>
      <c r="E37" s="9"/>
      <c r="F37" s="9"/>
      <c r="G37" s="9"/>
      <c r="H37" s="9"/>
      <c r="I37" s="3"/>
    </row>
    <row r="38" spans="1:12" ht="15.75" customHeight="1" x14ac:dyDescent="0.35">
      <c r="A38" s="77" t="s">
        <v>160</v>
      </c>
      <c r="B38" s="9"/>
      <c r="C38" s="9"/>
      <c r="D38" t="s">
        <v>288</v>
      </c>
      <c r="E38" s="9"/>
      <c r="F38" s="9"/>
      <c r="G38" s="9"/>
      <c r="H38" s="9"/>
      <c r="I38" s="3"/>
    </row>
    <row r="39" spans="1:12" ht="15.75" hidden="1" customHeight="1" x14ac:dyDescent="0.35">
      <c r="A39" t="s">
        <v>161</v>
      </c>
      <c r="B39" s="9"/>
      <c r="C39" s="9"/>
      <c r="E39" s="9"/>
      <c r="F39" s="9"/>
      <c r="G39" s="9"/>
      <c r="H39" s="9"/>
      <c r="I39" s="3"/>
    </row>
    <row r="40" spans="1:12" ht="15.75" customHeight="1" x14ac:dyDescent="0.35">
      <c r="A40" s="81"/>
      <c r="B40" s="9"/>
      <c r="C40" s="9"/>
      <c r="D40" t="s">
        <v>289</v>
      </c>
      <c r="I40" s="1"/>
    </row>
    <row r="41" spans="1:12" ht="15.75" customHeight="1" x14ac:dyDescent="0.35">
      <c r="A41" s="81"/>
      <c r="B41" s="9"/>
      <c r="C41" s="9"/>
      <c r="D41" t="s">
        <v>290</v>
      </c>
      <c r="I41" s="1"/>
    </row>
    <row r="42" spans="1:12" ht="15.75" customHeight="1" x14ac:dyDescent="0.35">
      <c r="A42" s="81"/>
      <c r="B42" s="9"/>
      <c r="C42" s="9"/>
      <c r="D42" s="9"/>
      <c r="I42" s="1"/>
    </row>
    <row r="43" spans="1:12" ht="15.75" customHeight="1" x14ac:dyDescent="0.35">
      <c r="A43" s="20" t="s">
        <v>11</v>
      </c>
      <c r="B43" s="9"/>
      <c r="C43" s="9"/>
      <c r="D43" t="s">
        <v>285</v>
      </c>
      <c r="I43" s="1"/>
      <c r="L43" s="123"/>
    </row>
    <row r="44" spans="1:12" ht="15.75" customHeight="1" x14ac:dyDescent="0.35">
      <c r="A44" s="81"/>
      <c r="B44" s="9"/>
      <c r="C44" s="9"/>
      <c r="D44" t="s">
        <v>286</v>
      </c>
      <c r="I44" s="1"/>
    </row>
    <row r="45" spans="1:12" ht="15.75" hidden="1" customHeight="1" x14ac:dyDescent="0.35">
      <c r="A45" s="81" t="s">
        <v>162</v>
      </c>
      <c r="B45" s="9"/>
      <c r="C45" s="9"/>
      <c r="I45" s="1"/>
    </row>
    <row r="46" spans="1:12" ht="15.75" customHeight="1" x14ac:dyDescent="0.35">
      <c r="A46" s="81"/>
      <c r="B46" s="9"/>
      <c r="C46" s="9"/>
      <c r="D46" t="s">
        <v>287</v>
      </c>
      <c r="I46" s="1"/>
    </row>
    <row r="47" spans="1:12" x14ac:dyDescent="0.3">
      <c r="A47" s="81"/>
    </row>
  </sheetData>
  <mergeCells count="1">
    <mergeCell ref="K7:P11"/>
  </mergeCells>
  <pageMargins left="0.70866141732283472" right="0.70866141732283472" top="0.74803149606299213" bottom="0.74803149606299213" header="0.31496062992125984" footer="0.31496062992125984"/>
  <pageSetup paperSize="9" orientation="portrait" useFirstPageNumber="1" r:id="rId1"/>
  <headerFooter differentFirst="1">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9"/>
  <sheetViews>
    <sheetView workbookViewId="0">
      <selection activeCell="A34" sqref="A34"/>
    </sheetView>
  </sheetViews>
  <sheetFormatPr defaultColWidth="9.109375" defaultRowHeight="14.4" outlineLevelRow="1" x14ac:dyDescent="0.3"/>
  <cols>
    <col min="1" max="1" width="9.109375" style="57" customWidth="1"/>
    <col min="2" max="2" width="14.109375" style="57" customWidth="1"/>
    <col min="3" max="3" width="11.5546875" style="57" bestFit="1" customWidth="1"/>
    <col min="4" max="7" width="9.109375" style="57"/>
    <col min="8" max="8" width="10.6640625" style="57" customWidth="1"/>
    <col min="9" max="16384" width="9.109375" style="57"/>
  </cols>
  <sheetData>
    <row r="1" spans="1:19" ht="18" x14ac:dyDescent="0.35">
      <c r="A1" s="54" t="str">
        <f>'cover and guidance'!$A$9</f>
        <v>Kilsyth Anderson Church of Scotland</v>
      </c>
      <c r="B1" s="55"/>
      <c r="C1" s="55"/>
      <c r="D1" s="55"/>
      <c r="E1" s="56"/>
      <c r="K1" s="90" t="s">
        <v>205</v>
      </c>
    </row>
    <row r="2" spans="1:19" ht="15.6" x14ac:dyDescent="0.3">
      <c r="A2" s="58" t="s">
        <v>99</v>
      </c>
      <c r="B2" s="59"/>
      <c r="C2" s="59"/>
      <c r="D2" s="59"/>
      <c r="E2" s="60"/>
    </row>
    <row r="3" spans="1:19" ht="15.6" x14ac:dyDescent="0.3">
      <c r="A3" s="10" t="str">
        <f>CONCATENATE("for the year ended 31 December ",'R&amp;P Account'!$D$8)</f>
        <v>for the year ended 31 December 2025</v>
      </c>
      <c r="B3" s="61"/>
      <c r="C3" s="61"/>
      <c r="D3" s="61"/>
      <c r="E3" s="60"/>
    </row>
    <row r="4" spans="1:19" ht="24.75" customHeight="1" x14ac:dyDescent="0.3"/>
    <row r="5" spans="1:19" ht="15.6" x14ac:dyDescent="0.3">
      <c r="A5" s="10" t="s">
        <v>159</v>
      </c>
    </row>
    <row r="7" spans="1:19" ht="15.6" x14ac:dyDescent="0.3">
      <c r="A7" s="59" t="s">
        <v>12</v>
      </c>
      <c r="B7" s="61"/>
      <c r="C7" s="61"/>
      <c r="D7" s="61"/>
      <c r="E7" s="61"/>
      <c r="F7" s="61"/>
      <c r="G7" s="61"/>
      <c r="H7" s="61"/>
      <c r="I7" s="61"/>
      <c r="J7" s="61"/>
      <c r="K7" s="61"/>
      <c r="L7" s="61"/>
      <c r="M7" s="61"/>
      <c r="N7" s="61"/>
    </row>
    <row r="8" spans="1:19" ht="15.6" x14ac:dyDescent="0.3">
      <c r="A8" s="81" t="s">
        <v>293</v>
      </c>
      <c r="B8" s="61"/>
      <c r="C8" s="61"/>
      <c r="D8" s="61"/>
      <c r="E8" s="61"/>
      <c r="F8" s="61"/>
      <c r="G8" s="61"/>
      <c r="H8" s="61"/>
      <c r="I8" s="61"/>
      <c r="J8" s="61"/>
      <c r="K8" s="61"/>
      <c r="L8" s="61"/>
      <c r="M8" s="61"/>
      <c r="N8" s="61"/>
    </row>
    <row r="9" spans="1:19" ht="15.6" x14ac:dyDescent="0.3">
      <c r="A9" s="61"/>
      <c r="B9" s="61"/>
      <c r="C9" s="61"/>
      <c r="D9" s="61"/>
      <c r="E9" s="61"/>
      <c r="F9" s="61"/>
      <c r="G9" s="61"/>
      <c r="H9" s="61"/>
      <c r="I9" s="61"/>
      <c r="J9" s="61"/>
      <c r="K9" s="61"/>
      <c r="L9" s="61"/>
      <c r="M9" s="61"/>
      <c r="N9" s="61"/>
    </row>
    <row r="10" spans="1:19" ht="15.6" x14ac:dyDescent="0.3">
      <c r="A10" s="59" t="s">
        <v>13</v>
      </c>
      <c r="B10" s="61"/>
      <c r="C10" s="61"/>
      <c r="D10" s="61"/>
      <c r="E10" s="61"/>
      <c r="F10" s="61"/>
      <c r="G10" s="61"/>
      <c r="H10" s="61"/>
      <c r="I10" s="61"/>
      <c r="J10" s="61"/>
      <c r="K10" s="128" t="s">
        <v>171</v>
      </c>
      <c r="L10" s="128"/>
      <c r="M10" s="128"/>
      <c r="N10" s="128"/>
      <c r="O10" s="128"/>
      <c r="P10" s="128"/>
      <c r="Q10" s="128"/>
      <c r="R10" s="128"/>
    </row>
    <row r="11" spans="1:19" ht="91.5" customHeight="1" x14ac:dyDescent="0.3">
      <c r="A11" s="133" t="s">
        <v>291</v>
      </c>
      <c r="B11" s="133"/>
      <c r="C11" s="133"/>
      <c r="D11" s="133"/>
      <c r="E11" s="133"/>
      <c r="F11" s="133"/>
      <c r="G11" s="133"/>
      <c r="H11" s="133"/>
      <c r="I11" s="67"/>
      <c r="J11" s="61"/>
      <c r="K11" s="134" t="s">
        <v>206</v>
      </c>
      <c r="L11" s="134"/>
      <c r="M11" s="134"/>
      <c r="N11" s="134"/>
      <c r="O11" s="134"/>
      <c r="P11" s="134"/>
      <c r="Q11" s="134"/>
      <c r="R11" s="134"/>
      <c r="S11" s="68"/>
    </row>
    <row r="12" spans="1:19" ht="15.6" x14ac:dyDescent="0.3">
      <c r="A12" s="59" t="s">
        <v>14</v>
      </c>
      <c r="B12" s="61"/>
      <c r="C12" s="61"/>
      <c r="D12" s="61"/>
      <c r="E12" s="61"/>
      <c r="F12" s="61"/>
      <c r="G12" s="61"/>
      <c r="H12" s="61"/>
      <c r="I12" s="61"/>
    </row>
    <row r="13" spans="1:19" ht="61.5" customHeight="1" x14ac:dyDescent="0.3">
      <c r="A13" s="133" t="s">
        <v>292</v>
      </c>
      <c r="B13" s="133"/>
      <c r="C13" s="133"/>
      <c r="D13" s="133"/>
      <c r="E13" s="133"/>
      <c r="F13" s="133"/>
      <c r="G13" s="133"/>
      <c r="H13" s="133"/>
      <c r="I13" s="61"/>
    </row>
    <row r="14" spans="1:19" ht="4.5" customHeight="1" x14ac:dyDescent="0.3">
      <c r="A14" s="61"/>
    </row>
    <row r="15" spans="1:19" ht="18.75" customHeight="1" x14ac:dyDescent="0.3">
      <c r="A15" s="59" t="s">
        <v>15</v>
      </c>
      <c r="B15" s="61"/>
      <c r="C15" s="61"/>
      <c r="D15" s="61"/>
      <c r="E15" s="61"/>
      <c r="F15" s="61"/>
      <c r="G15" s="61"/>
      <c r="H15" s="61"/>
      <c r="I15" s="61"/>
    </row>
    <row r="16" spans="1:19" ht="78.75" customHeight="1" x14ac:dyDescent="0.3">
      <c r="A16" s="132" t="s">
        <v>155</v>
      </c>
      <c r="B16" s="132"/>
      <c r="C16" s="132"/>
      <c r="D16" s="132"/>
      <c r="E16" s="132"/>
      <c r="F16" s="132"/>
      <c r="G16" s="132"/>
      <c r="H16" s="132"/>
      <c r="I16" s="67"/>
    </row>
    <row r="17" spans="1:19" x14ac:dyDescent="0.3">
      <c r="A17" s="64"/>
      <c r="B17" s="63"/>
      <c r="C17" s="63"/>
      <c r="D17" s="63"/>
      <c r="E17" s="63"/>
      <c r="F17" s="63"/>
      <c r="G17" s="63"/>
      <c r="H17" s="63"/>
      <c r="I17" s="63"/>
    </row>
    <row r="18" spans="1:19" ht="15.6" x14ac:dyDescent="0.3">
      <c r="A18" s="59" t="s">
        <v>16</v>
      </c>
    </row>
    <row r="19" spans="1:19" ht="42.75" hidden="1" customHeight="1" outlineLevel="1" x14ac:dyDescent="0.3">
      <c r="A19" s="129" t="s">
        <v>156</v>
      </c>
      <c r="B19" s="129"/>
      <c r="C19" s="129"/>
      <c r="D19" s="129"/>
      <c r="E19" s="129"/>
      <c r="F19" s="129"/>
      <c r="G19" s="129"/>
      <c r="H19" s="129"/>
    </row>
    <row r="20" spans="1:19" ht="135" customHeight="1" collapsed="1" x14ac:dyDescent="0.3">
      <c r="A20" s="132" t="s">
        <v>406</v>
      </c>
      <c r="B20" s="132"/>
      <c r="C20" s="132"/>
      <c r="D20" s="132"/>
      <c r="E20" s="132"/>
      <c r="F20" s="132"/>
      <c r="G20" s="132"/>
      <c r="H20" s="132"/>
    </row>
    <row r="21" spans="1:19" x14ac:dyDescent="0.3">
      <c r="A21" s="65"/>
    </row>
    <row r="22" spans="1:19" ht="15.6" x14ac:dyDescent="0.3">
      <c r="A22" s="59" t="s">
        <v>17</v>
      </c>
    </row>
    <row r="23" spans="1:19" ht="87" customHeight="1" x14ac:dyDescent="0.3">
      <c r="A23" s="130" t="s">
        <v>409</v>
      </c>
      <c r="B23" s="131"/>
      <c r="C23" s="131"/>
      <c r="D23" s="131"/>
      <c r="E23" s="131"/>
      <c r="F23" s="131"/>
      <c r="G23" s="131"/>
      <c r="H23" s="131"/>
      <c r="J23" s="122"/>
    </row>
    <row r="24" spans="1:19" x14ac:dyDescent="0.3">
      <c r="A24" s="70"/>
      <c r="B24" s="70"/>
      <c r="C24" s="70"/>
      <c r="D24" s="70"/>
      <c r="E24" s="70"/>
      <c r="F24" s="70"/>
      <c r="G24" s="70"/>
      <c r="H24" s="70"/>
      <c r="K24" s="122"/>
    </row>
    <row r="25" spans="1:19" ht="15.6" x14ac:dyDescent="0.3">
      <c r="A25" s="59" t="s">
        <v>18</v>
      </c>
      <c r="K25" s="122"/>
    </row>
    <row r="26" spans="1:19" hidden="1" outlineLevel="1" x14ac:dyDescent="0.3">
      <c r="A26" s="129" t="s">
        <v>167</v>
      </c>
      <c r="B26" s="129"/>
      <c r="C26" s="129"/>
      <c r="D26" s="129"/>
      <c r="E26" s="129"/>
      <c r="F26" s="129"/>
      <c r="G26" s="129"/>
      <c r="H26" s="129"/>
    </row>
    <row r="27" spans="1:19" ht="104.25" customHeight="1" collapsed="1" x14ac:dyDescent="0.3">
      <c r="A27" s="126" t="s">
        <v>411</v>
      </c>
      <c r="B27" s="126"/>
      <c r="C27" s="126"/>
      <c r="D27" s="126"/>
      <c r="E27" s="126"/>
      <c r="F27" s="126"/>
      <c r="G27" s="126"/>
      <c r="H27" s="126"/>
      <c r="I27" s="80"/>
      <c r="K27" s="91" t="s">
        <v>169</v>
      </c>
    </row>
    <row r="28" spans="1:19" ht="32.25" customHeight="1" x14ac:dyDescent="0.3">
      <c r="A28" s="127" t="s">
        <v>410</v>
      </c>
      <c r="B28" s="127"/>
      <c r="C28" s="127"/>
      <c r="D28" s="127"/>
      <c r="E28" s="127"/>
      <c r="F28" s="127"/>
      <c r="G28" s="127"/>
      <c r="H28" s="127"/>
      <c r="I28" s="49"/>
    </row>
    <row r="29" spans="1:19" ht="15.75" customHeight="1" x14ac:dyDescent="0.3">
      <c r="A29" s="64"/>
      <c r="K29" s="124"/>
      <c r="L29" s="124"/>
      <c r="M29" s="124"/>
      <c r="N29" s="124"/>
      <c r="O29" s="124"/>
      <c r="P29" s="124"/>
      <c r="Q29" s="124"/>
      <c r="R29" s="124"/>
      <c r="S29" s="124"/>
    </row>
    <row r="30" spans="1:19" ht="15.6" x14ac:dyDescent="0.3">
      <c r="A30" s="20" t="s">
        <v>19</v>
      </c>
    </row>
    <row r="31" spans="1:19" ht="134.25" customHeight="1" x14ac:dyDescent="0.3">
      <c r="A31" s="125" t="s">
        <v>157</v>
      </c>
      <c r="B31" s="125"/>
      <c r="C31" s="125"/>
      <c r="D31" s="125"/>
      <c r="E31" s="125"/>
      <c r="F31" s="125"/>
      <c r="G31" s="125"/>
      <c r="H31" s="125"/>
      <c r="I31" s="69"/>
    </row>
    <row r="32" spans="1:19" ht="9" customHeight="1" x14ac:dyDescent="0.3">
      <c r="A32" s="71"/>
      <c r="B32" s="71"/>
      <c r="C32" s="71"/>
      <c r="D32" s="71"/>
      <c r="E32" s="71"/>
      <c r="F32" s="71"/>
      <c r="G32" s="71"/>
      <c r="H32" s="71"/>
      <c r="I32" s="69"/>
    </row>
    <row r="33" spans="1:11" x14ac:dyDescent="0.3">
      <c r="A33" s="81" t="s">
        <v>412</v>
      </c>
      <c r="K33" s="91" t="s">
        <v>169</v>
      </c>
    </row>
    <row r="34" spans="1:11" x14ac:dyDescent="0.3">
      <c r="A34"/>
    </row>
    <row r="35" spans="1:11" x14ac:dyDescent="0.3">
      <c r="A35"/>
    </row>
    <row r="36" spans="1:11" x14ac:dyDescent="0.3">
      <c r="A36" s="62"/>
    </row>
    <row r="37" spans="1:11" x14ac:dyDescent="0.3">
      <c r="A37" s="81" t="s">
        <v>258</v>
      </c>
    </row>
    <row r="38" spans="1:11" x14ac:dyDescent="0.3">
      <c r="A38" s="18" t="s">
        <v>55</v>
      </c>
    </row>
    <row r="39" spans="1:11" ht="15.6" x14ac:dyDescent="0.3">
      <c r="A39" s="66"/>
    </row>
  </sheetData>
  <mergeCells count="13">
    <mergeCell ref="K29:S29"/>
    <mergeCell ref="A31:H31"/>
    <mergeCell ref="A27:H27"/>
    <mergeCell ref="A28:H28"/>
    <mergeCell ref="K10:R10"/>
    <mergeCell ref="A26:H26"/>
    <mergeCell ref="A23:H23"/>
    <mergeCell ref="A20:H20"/>
    <mergeCell ref="A19:H19"/>
    <mergeCell ref="A16:H16"/>
    <mergeCell ref="A11:H11"/>
    <mergeCell ref="K11:R11"/>
    <mergeCell ref="A13:H13"/>
  </mergeCells>
  <pageMargins left="0.78740157480314965" right="0.70866141732283472" top="0.9055118110236221" bottom="0.74803149606299213" header="0.31496062992125984" footer="0.31496062992125984"/>
  <pageSetup paperSize="9" firstPageNumber="2" orientation="portrait" useFirstPageNumber="1" r:id="rId1"/>
  <headerFooter>
    <oddFooter>&amp;CPage &amp;P</oddFooter>
  </headerFooter>
  <rowBreaks count="1" manualBreakCount="1">
    <brk id="23" max="16383" man="1"/>
  </rowBreaks>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9"/>
  <sheetViews>
    <sheetView topLeftCell="A2" workbookViewId="0">
      <selection activeCell="A6" sqref="A6:J7"/>
    </sheetView>
  </sheetViews>
  <sheetFormatPr defaultRowHeight="14.4" x14ac:dyDescent="0.3"/>
  <cols>
    <col min="1" max="1" width="3.33203125" customWidth="1"/>
    <col min="2" max="2" width="2.109375" customWidth="1"/>
    <col min="4" max="4" width="11.33203125" bestFit="1" customWidth="1"/>
    <col min="10" max="10" width="16.44140625" customWidth="1"/>
    <col min="13" max="13" width="3.44140625" customWidth="1"/>
  </cols>
  <sheetData>
    <row r="1" spans="1:13" ht="17.399999999999999" x14ac:dyDescent="0.3">
      <c r="A1" s="21" t="str">
        <f>'cover and guidance'!$A$9</f>
        <v>Kilsyth Anderson Church of Scotland</v>
      </c>
      <c r="M1" s="90" t="s">
        <v>205</v>
      </c>
    </row>
    <row r="2" spans="1:13" ht="15.6" x14ac:dyDescent="0.3">
      <c r="A2" s="10" t="str">
        <f>'ref info'!F6</f>
        <v>SC009866</v>
      </c>
      <c r="B2" s="2"/>
      <c r="C2" s="2"/>
      <c r="D2" s="2"/>
      <c r="E2" s="2"/>
      <c r="F2" s="2"/>
      <c r="G2" s="2"/>
      <c r="H2" s="2"/>
      <c r="I2" s="2"/>
      <c r="J2" s="2"/>
    </row>
    <row r="3" spans="1:13" ht="15.6" x14ac:dyDescent="0.3">
      <c r="A3" s="2"/>
      <c r="B3" s="2"/>
      <c r="C3" s="2"/>
      <c r="D3" s="2"/>
      <c r="E3" s="2"/>
      <c r="F3" s="2"/>
      <c r="G3" s="2"/>
      <c r="H3" s="2"/>
      <c r="I3" s="2"/>
      <c r="J3" s="2"/>
    </row>
    <row r="4" spans="1:13" ht="15.6" x14ac:dyDescent="0.3">
      <c r="A4" s="24" t="str">
        <f>CONCATENATE("Independent Examiner's Report to the Trustees of ",'cover and guidance'!$A$9)&amp;" "</f>
        <v xml:space="preserve">Independent Examiner's Report to the Trustees of Kilsyth Anderson Church of Scotland </v>
      </c>
      <c r="B4" s="2"/>
      <c r="C4" s="2"/>
      <c r="D4" s="2"/>
      <c r="E4" s="2"/>
      <c r="F4" s="2"/>
      <c r="G4" s="2"/>
      <c r="H4" s="2"/>
      <c r="I4" s="2"/>
      <c r="J4" s="2"/>
    </row>
    <row r="5" spans="1:13" ht="15.6" x14ac:dyDescent="0.3">
      <c r="A5" s="2"/>
      <c r="B5" s="2"/>
      <c r="C5" s="2"/>
      <c r="D5" s="2"/>
      <c r="E5" s="2"/>
      <c r="F5" s="2"/>
      <c r="G5" s="2"/>
      <c r="H5" s="2"/>
      <c r="I5" s="2"/>
      <c r="J5" s="2"/>
    </row>
    <row r="6" spans="1:13" ht="15.75" customHeight="1" x14ac:dyDescent="0.3">
      <c r="A6" s="127" t="str">
        <f>CONCATENATE("I report on the accounts of the charity for the year ended 31 December ",'R&amp;P Account'!$D$8)&amp;" which are set out on pages 5 to 10."</f>
        <v>I report on the accounts of the charity for the year ended 31 December 2025 which are set out on pages 5 to 10.</v>
      </c>
      <c r="B6" s="127"/>
      <c r="C6" s="127"/>
      <c r="D6" s="127"/>
      <c r="E6" s="127"/>
      <c r="F6" s="127"/>
      <c r="G6" s="127"/>
      <c r="H6" s="127"/>
      <c r="I6" s="127"/>
      <c r="J6" s="127"/>
      <c r="K6" s="49"/>
    </row>
    <row r="7" spans="1:13" ht="15.75" customHeight="1" x14ac:dyDescent="0.3">
      <c r="A7" s="127"/>
      <c r="B7" s="127"/>
      <c r="C7" s="127"/>
      <c r="D7" s="127"/>
      <c r="E7" s="127"/>
      <c r="F7" s="127"/>
      <c r="G7" s="127"/>
      <c r="H7" s="127"/>
      <c r="I7" s="127"/>
      <c r="J7" s="127"/>
      <c r="K7" s="49"/>
      <c r="M7" t="s">
        <v>184</v>
      </c>
    </row>
    <row r="8" spans="1:13" ht="15.6" x14ac:dyDescent="0.3">
      <c r="A8" s="1"/>
      <c r="B8" s="1"/>
      <c r="C8" s="1"/>
      <c r="D8" s="1"/>
      <c r="E8" s="1"/>
      <c r="F8" s="1"/>
      <c r="G8" s="1"/>
      <c r="H8" s="1"/>
      <c r="I8" s="1"/>
      <c r="J8" s="2"/>
    </row>
    <row r="9" spans="1:13" x14ac:dyDescent="0.3">
      <c r="A9" s="145" t="s">
        <v>20</v>
      </c>
      <c r="B9" s="145"/>
      <c r="C9" s="145"/>
      <c r="D9" s="145"/>
      <c r="E9" s="145"/>
      <c r="F9" s="145"/>
      <c r="G9" s="145"/>
      <c r="H9" s="145"/>
      <c r="I9" s="145"/>
      <c r="J9" s="145"/>
      <c r="K9" s="51"/>
    </row>
    <row r="10" spans="1:13" ht="54" customHeight="1" x14ac:dyDescent="0.3">
      <c r="A10" s="132" t="s">
        <v>139</v>
      </c>
      <c r="B10" s="132"/>
      <c r="C10" s="132"/>
      <c r="D10" s="132"/>
      <c r="E10" s="132"/>
      <c r="F10" s="132"/>
      <c r="G10" s="132"/>
      <c r="H10" s="132"/>
      <c r="I10" s="132"/>
      <c r="J10" s="132"/>
      <c r="K10" s="46"/>
    </row>
    <row r="11" spans="1:13" ht="46.5" customHeight="1" x14ac:dyDescent="0.3">
      <c r="A11" s="132" t="s">
        <v>138</v>
      </c>
      <c r="B11" s="132"/>
      <c r="C11" s="132"/>
      <c r="D11" s="132"/>
      <c r="E11" s="132"/>
      <c r="F11" s="132"/>
      <c r="G11" s="132"/>
      <c r="H11" s="132"/>
      <c r="I11" s="132"/>
      <c r="J11" s="132"/>
      <c r="K11" s="45"/>
    </row>
    <row r="12" spans="1:13" ht="15.75" customHeight="1" x14ac:dyDescent="0.3">
      <c r="A12" s="45"/>
      <c r="B12" s="45"/>
      <c r="C12" s="45"/>
      <c r="D12" s="45"/>
      <c r="E12" s="45"/>
      <c r="F12" s="45"/>
      <c r="G12" s="45"/>
      <c r="H12" s="45"/>
      <c r="I12" s="45"/>
      <c r="J12" s="45"/>
      <c r="K12" s="45"/>
    </row>
    <row r="13" spans="1:13" x14ac:dyDescent="0.3">
      <c r="A13" s="145" t="s">
        <v>129</v>
      </c>
      <c r="B13" s="145"/>
      <c r="C13" s="145"/>
      <c r="D13" s="145"/>
      <c r="E13" s="145"/>
      <c r="F13" s="145"/>
      <c r="G13" s="145"/>
      <c r="H13" s="145"/>
      <c r="I13" s="145"/>
      <c r="J13" s="145"/>
      <c r="K13" s="51"/>
    </row>
    <row r="14" spans="1:13" ht="103.5" customHeight="1" x14ac:dyDescent="0.3">
      <c r="A14" s="146" t="s">
        <v>140</v>
      </c>
      <c r="B14" s="146"/>
      <c r="C14" s="146"/>
      <c r="D14" s="146"/>
      <c r="E14" s="146"/>
      <c r="F14" s="146"/>
      <c r="G14" s="146"/>
      <c r="H14" s="146"/>
      <c r="I14" s="146"/>
      <c r="J14" s="146"/>
      <c r="K14" s="46"/>
    </row>
    <row r="15" spans="1:13" ht="15.75" customHeight="1" x14ac:dyDescent="0.3">
      <c r="A15" s="47"/>
      <c r="B15" s="46"/>
      <c r="C15" s="46"/>
      <c r="D15" s="46"/>
      <c r="E15" s="46"/>
      <c r="F15" s="46"/>
      <c r="G15" s="46"/>
      <c r="H15" s="46"/>
      <c r="I15" s="46"/>
      <c r="J15" s="46"/>
      <c r="K15" s="46"/>
    </row>
    <row r="16" spans="1:13" x14ac:dyDescent="0.3">
      <c r="A16" s="145" t="s">
        <v>130</v>
      </c>
      <c r="B16" s="145"/>
      <c r="C16" s="145"/>
      <c r="D16" s="145"/>
      <c r="E16" s="145"/>
      <c r="F16" s="145"/>
      <c r="G16" s="145"/>
      <c r="H16" s="145"/>
      <c r="I16" s="145"/>
      <c r="J16" s="145"/>
      <c r="K16" s="51"/>
    </row>
    <row r="17" spans="1:22" ht="15" customHeight="1" x14ac:dyDescent="0.3">
      <c r="A17" s="144" t="s">
        <v>136</v>
      </c>
      <c r="B17" s="144"/>
      <c r="C17" s="144"/>
      <c r="D17" s="144"/>
      <c r="E17" s="144"/>
      <c r="F17" s="144"/>
      <c r="G17" s="144"/>
      <c r="H17" s="144"/>
      <c r="I17" s="144"/>
      <c r="J17" s="144"/>
      <c r="K17" s="46"/>
      <c r="M17" s="48" t="s">
        <v>135</v>
      </c>
      <c r="N17" s="143" t="s">
        <v>185</v>
      </c>
      <c r="O17" s="143"/>
      <c r="P17" s="143"/>
      <c r="Q17" s="143"/>
      <c r="R17" s="143"/>
      <c r="S17" s="143"/>
      <c r="T17" s="143"/>
      <c r="U17" s="143"/>
      <c r="V17" s="143"/>
    </row>
    <row r="18" spans="1:22" x14ac:dyDescent="0.3">
      <c r="A18" s="41" t="s">
        <v>131</v>
      </c>
      <c r="B18" s="42" t="s">
        <v>132</v>
      </c>
      <c r="C18" s="42"/>
      <c r="D18" s="42"/>
      <c r="E18" s="42"/>
      <c r="F18" s="42"/>
      <c r="G18" s="42"/>
      <c r="H18" s="42"/>
      <c r="I18" s="42"/>
      <c r="N18" t="s">
        <v>186</v>
      </c>
    </row>
    <row r="19" spans="1:22" ht="32.25" customHeight="1" x14ac:dyDescent="0.3">
      <c r="A19" s="42"/>
      <c r="B19" s="43" t="s">
        <v>137</v>
      </c>
      <c r="C19" s="146" t="s">
        <v>141</v>
      </c>
      <c r="D19" s="146"/>
      <c r="E19" s="146"/>
      <c r="F19" s="146"/>
      <c r="G19" s="146"/>
      <c r="H19" s="146"/>
      <c r="I19" s="146"/>
      <c r="J19" s="146"/>
      <c r="K19" s="46"/>
    </row>
    <row r="20" spans="1:22" ht="31.5" customHeight="1" x14ac:dyDescent="0.3">
      <c r="A20" s="42"/>
      <c r="B20" s="43" t="s">
        <v>137</v>
      </c>
      <c r="C20" s="146" t="s">
        <v>142</v>
      </c>
      <c r="D20" s="146"/>
      <c r="E20" s="146"/>
      <c r="F20" s="146"/>
      <c r="G20" s="146"/>
      <c r="H20" s="146"/>
      <c r="I20" s="146"/>
      <c r="J20" s="146"/>
      <c r="K20" s="46"/>
    </row>
    <row r="21" spans="1:22" ht="37.5" customHeight="1" x14ac:dyDescent="0.3">
      <c r="A21" s="44" t="s">
        <v>133</v>
      </c>
      <c r="B21" s="146" t="s">
        <v>134</v>
      </c>
      <c r="C21" s="146"/>
      <c r="D21" s="146"/>
      <c r="E21" s="146"/>
      <c r="F21" s="146"/>
      <c r="G21" s="146"/>
      <c r="H21" s="146"/>
      <c r="I21" s="146"/>
      <c r="J21" s="146"/>
      <c r="K21" s="46"/>
    </row>
    <row r="22" spans="1:22" ht="37.5" customHeight="1" x14ac:dyDescent="0.3">
      <c r="A22" s="44"/>
      <c r="B22" s="47"/>
      <c r="C22" s="47"/>
      <c r="D22" s="47"/>
      <c r="E22" s="47"/>
      <c r="F22" s="47"/>
      <c r="G22" s="47"/>
      <c r="H22" s="47"/>
      <c r="I22" s="47"/>
      <c r="J22" s="47"/>
      <c r="K22" s="46"/>
    </row>
    <row r="23" spans="1:22" x14ac:dyDescent="0.3">
      <c r="A23" s="1"/>
      <c r="B23" s="1"/>
      <c r="C23" s="1"/>
      <c r="D23" s="1"/>
      <c r="E23" s="1"/>
      <c r="F23" s="1"/>
      <c r="G23" s="1"/>
      <c r="H23" s="1"/>
      <c r="I23" s="1"/>
      <c r="J23" s="1"/>
    </row>
    <row r="24" spans="1:22" x14ac:dyDescent="0.3">
      <c r="A24" t="s">
        <v>21</v>
      </c>
      <c r="D24" s="81" t="s">
        <v>297</v>
      </c>
      <c r="E24" s="1"/>
      <c r="F24" s="1"/>
      <c r="G24" s="1"/>
      <c r="H24" s="1"/>
      <c r="I24" s="1"/>
      <c r="J24" s="1"/>
    </row>
    <row r="25" spans="1:22" x14ac:dyDescent="0.3">
      <c r="E25" s="1"/>
      <c r="F25" s="1"/>
      <c r="G25" s="1"/>
      <c r="H25" s="1"/>
      <c r="I25" s="1"/>
      <c r="J25" s="1"/>
    </row>
    <row r="26" spans="1:22" x14ac:dyDescent="0.3">
      <c r="A26" t="s">
        <v>22</v>
      </c>
      <c r="D26" t="s">
        <v>289</v>
      </c>
      <c r="E26" s="1"/>
      <c r="F26" s="1"/>
      <c r="G26" s="1"/>
      <c r="H26" s="1"/>
      <c r="I26" s="1"/>
      <c r="J26" s="1"/>
    </row>
    <row r="27" spans="1:22" x14ac:dyDescent="0.3">
      <c r="D27" t="s">
        <v>290</v>
      </c>
      <c r="E27" s="1"/>
      <c r="F27" s="1"/>
      <c r="G27" s="1"/>
      <c r="H27" s="1"/>
      <c r="I27" s="1"/>
      <c r="J27" s="1"/>
    </row>
    <row r="28" spans="1:22" x14ac:dyDescent="0.3">
      <c r="D28" s="81"/>
      <c r="E28" s="1"/>
      <c r="F28" s="1"/>
      <c r="G28" s="1"/>
      <c r="H28" s="1"/>
      <c r="I28" s="1"/>
      <c r="J28" s="1"/>
    </row>
    <row r="29" spans="1:22" x14ac:dyDescent="0.3">
      <c r="A29" t="s">
        <v>23</v>
      </c>
      <c r="B29" s="1"/>
      <c r="C29" s="1"/>
      <c r="D29" s="98">
        <v>46239</v>
      </c>
      <c r="E29" s="1"/>
      <c r="F29" s="1"/>
      <c r="G29" s="1"/>
      <c r="H29" s="1"/>
      <c r="I29" s="1"/>
      <c r="J29" s="1"/>
    </row>
    <row r="30" spans="1:22" s="18" customFormat="1" x14ac:dyDescent="0.3"/>
    <row r="31" spans="1:22" s="18" customFormat="1" ht="33" customHeight="1" x14ac:dyDescent="0.3">
      <c r="A31" s="48"/>
      <c r="K31" s="50"/>
    </row>
    <row r="32" spans="1:22" s="18" customFormat="1" ht="15.75" customHeight="1" x14ac:dyDescent="0.3"/>
    <row r="33" s="18" customFormat="1"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sheetData>
  <mergeCells count="12">
    <mergeCell ref="C19:J19"/>
    <mergeCell ref="C20:J20"/>
    <mergeCell ref="B21:J21"/>
    <mergeCell ref="A6:J7"/>
    <mergeCell ref="A10:J10"/>
    <mergeCell ref="A11:J11"/>
    <mergeCell ref="A14:J14"/>
    <mergeCell ref="N17:V17"/>
    <mergeCell ref="A17:J17"/>
    <mergeCell ref="A9:J9"/>
    <mergeCell ref="A13:J13"/>
    <mergeCell ref="A16:J16"/>
  </mergeCells>
  <pageMargins left="0.70866141732283472" right="0.70866141732283472" top="0.74803149606299213" bottom="0.74803149606299213" header="0.31496062992125984" footer="0.31496062992125984"/>
  <pageSetup paperSize="9" firstPageNumber="4" orientation="portrait" useFirstPageNumber="1" r:id="rId1"/>
  <headerFooter>
    <oddFooter>&amp;CPage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2"/>
  <sheetViews>
    <sheetView tabSelected="1" workbookViewId="0">
      <selection activeCell="D13" sqref="D13"/>
    </sheetView>
  </sheetViews>
  <sheetFormatPr defaultRowHeight="14.4" x14ac:dyDescent="0.3"/>
  <cols>
    <col min="2" max="2" width="15.6640625" customWidth="1"/>
    <col min="3" max="3" width="6.6640625" customWidth="1"/>
    <col min="4" max="4" width="11.6640625" customWidth="1"/>
    <col min="5" max="5" width="10.6640625" customWidth="1"/>
    <col min="6" max="6" width="11.6640625" customWidth="1"/>
    <col min="7" max="8" width="10.6640625" customWidth="1"/>
    <col min="11" max="11" width="11.88671875" customWidth="1"/>
    <col min="12" max="12" width="10.109375" customWidth="1"/>
    <col min="14" max="15" width="9.33203125" bestFit="1" customWidth="1"/>
    <col min="16" max="16" width="11.109375" customWidth="1"/>
    <col min="18" max="18" width="11.88671875" customWidth="1"/>
  </cols>
  <sheetData>
    <row r="1" spans="1:16" ht="17.399999999999999" x14ac:dyDescent="0.3">
      <c r="A1" s="21" t="str">
        <f>'cover and guidance'!$A$9</f>
        <v>Kilsyth Anderson Church of Scotland</v>
      </c>
      <c r="B1" s="14"/>
      <c r="C1" s="14"/>
      <c r="D1" s="14"/>
    </row>
    <row r="2" spans="1:16" ht="15.6" x14ac:dyDescent="0.3">
      <c r="A2" s="10" t="s">
        <v>24</v>
      </c>
      <c r="B2" s="10"/>
      <c r="C2" s="10"/>
      <c r="D2" s="10"/>
      <c r="E2" s="2"/>
      <c r="F2" s="2"/>
      <c r="G2" s="2"/>
      <c r="K2" s="90" t="s">
        <v>205</v>
      </c>
    </row>
    <row r="3" spans="1:16" ht="15.6" x14ac:dyDescent="0.3">
      <c r="A3" s="10" t="str">
        <f>CONCATENATE("for the year ended 31 December ",$D$8)</f>
        <v>for the year ended 31 December 2025</v>
      </c>
      <c r="B3" s="10"/>
      <c r="C3" s="10"/>
      <c r="D3" s="10"/>
      <c r="E3" s="2"/>
      <c r="F3" s="2"/>
      <c r="G3" s="2"/>
    </row>
    <row r="4" spans="1:16" ht="15.6" x14ac:dyDescent="0.3">
      <c r="A4" s="10"/>
      <c r="B4" s="10"/>
      <c r="C4" s="10"/>
      <c r="D4" s="10"/>
      <c r="E4" s="2"/>
      <c r="F4" s="2"/>
      <c r="G4" s="2"/>
    </row>
    <row r="5" spans="1:16" ht="15.6" x14ac:dyDescent="0.3">
      <c r="A5" s="2"/>
      <c r="B5" s="2"/>
      <c r="C5" s="2"/>
      <c r="D5" s="2"/>
      <c r="E5" s="2"/>
      <c r="F5" s="2"/>
      <c r="G5" s="2"/>
      <c r="P5" s="96"/>
    </row>
    <row r="6" spans="1:16" x14ac:dyDescent="0.3">
      <c r="A6" s="35"/>
      <c r="B6" s="35"/>
      <c r="C6" s="35"/>
      <c r="D6" s="37" t="s">
        <v>28</v>
      </c>
      <c r="E6" s="17" t="s">
        <v>29</v>
      </c>
      <c r="F6" s="37" t="s">
        <v>27</v>
      </c>
      <c r="G6" s="38"/>
      <c r="H6" s="38"/>
    </row>
    <row r="7" spans="1:16" x14ac:dyDescent="0.3">
      <c r="A7" s="35"/>
      <c r="B7" s="35"/>
      <c r="C7" s="35"/>
      <c r="D7" s="37" t="s">
        <v>26</v>
      </c>
      <c r="E7" s="37" t="s">
        <v>26</v>
      </c>
      <c r="F7" s="37" t="s">
        <v>26</v>
      </c>
      <c r="G7" s="17" t="s">
        <v>25</v>
      </c>
      <c r="H7" s="17" t="s">
        <v>25</v>
      </c>
    </row>
    <row r="8" spans="1:16" x14ac:dyDescent="0.3">
      <c r="A8" s="35"/>
      <c r="B8" s="35"/>
      <c r="C8" s="35"/>
      <c r="D8" s="37">
        <v>2025</v>
      </c>
      <c r="E8" s="37">
        <f>$D$8</f>
        <v>2025</v>
      </c>
      <c r="F8" s="37">
        <f t="shared" ref="F8:G8" si="0">$D$8</f>
        <v>2025</v>
      </c>
      <c r="G8" s="37">
        <f t="shared" si="0"/>
        <v>2025</v>
      </c>
      <c r="H8" s="37">
        <f>$D$8-1</f>
        <v>2024</v>
      </c>
      <c r="K8" t="s">
        <v>172</v>
      </c>
    </row>
    <row r="9" spans="1:16" x14ac:dyDescent="0.3">
      <c r="A9" s="36"/>
      <c r="B9" s="35"/>
      <c r="C9" s="37" t="s">
        <v>30</v>
      </c>
      <c r="D9" s="37" t="s">
        <v>103</v>
      </c>
      <c r="E9" s="37" t="s">
        <v>103</v>
      </c>
      <c r="F9" s="37" t="s">
        <v>103</v>
      </c>
      <c r="G9" s="37" t="s">
        <v>103</v>
      </c>
      <c r="H9" s="37" t="s">
        <v>103</v>
      </c>
    </row>
    <row r="10" spans="1:16" ht="15.6" x14ac:dyDescent="0.3">
      <c r="A10" s="75" t="s">
        <v>31</v>
      </c>
      <c r="B10" s="35"/>
      <c r="C10" s="37"/>
      <c r="D10" s="37"/>
      <c r="E10" s="37"/>
      <c r="F10" s="37"/>
      <c r="G10" s="37"/>
      <c r="H10" s="37"/>
      <c r="K10" s="31" t="s">
        <v>301</v>
      </c>
      <c r="L10" s="31" t="s">
        <v>342</v>
      </c>
      <c r="M10" s="31" t="s">
        <v>330</v>
      </c>
      <c r="N10" s="31" t="s">
        <v>233</v>
      </c>
      <c r="O10" s="31" t="s">
        <v>390</v>
      </c>
      <c r="P10" s="31" t="s">
        <v>25</v>
      </c>
    </row>
    <row r="11" spans="1:16" x14ac:dyDescent="0.3">
      <c r="A11" s="35" t="s">
        <v>32</v>
      </c>
      <c r="B11" s="35"/>
      <c r="C11" s="35">
        <v>3</v>
      </c>
      <c r="D11" s="78">
        <f>P11</f>
        <v>67344.73</v>
      </c>
      <c r="E11" s="78">
        <f>'Notes to Accounts'!F55</f>
        <v>0</v>
      </c>
      <c r="F11" s="78">
        <f>'Notes to Accounts'!G55</f>
        <v>0</v>
      </c>
      <c r="G11" s="78">
        <f>'Notes to Accounts'!H55</f>
        <v>67344.73</v>
      </c>
      <c r="H11" s="78">
        <f>'Notes to Accounts'!I55</f>
        <v>71435</v>
      </c>
      <c r="K11" s="96">
        <f>'Notes to Accounts'!K55</f>
        <v>67344.73</v>
      </c>
      <c r="L11" s="96">
        <f>'Notes to Accounts'!L55</f>
        <v>0</v>
      </c>
      <c r="M11" s="96"/>
      <c r="N11" s="96">
        <f>'Notes to Accounts'!N55</f>
        <v>0</v>
      </c>
      <c r="O11" s="96"/>
      <c r="P11" s="96">
        <f>SUM(K11:O11)</f>
        <v>67344.73</v>
      </c>
    </row>
    <row r="12" spans="1:16" x14ac:dyDescent="0.3">
      <c r="A12" s="85" t="s">
        <v>33</v>
      </c>
      <c r="B12" s="35"/>
      <c r="C12" s="35"/>
      <c r="D12" s="78">
        <f t="shared" ref="D12:D19" si="1">P12</f>
        <v>0</v>
      </c>
      <c r="E12" s="26">
        <v>0</v>
      </c>
      <c r="F12" s="26">
        <v>0</v>
      </c>
      <c r="G12" s="78">
        <f t="shared" ref="G12:G20" si="2">SUM(D12:F12)</f>
        <v>0</v>
      </c>
      <c r="H12" s="26">
        <v>0</v>
      </c>
      <c r="K12" s="96"/>
      <c r="L12" s="96"/>
      <c r="M12" s="96"/>
      <c r="N12" s="96"/>
      <c r="O12" s="96"/>
      <c r="P12" s="96">
        <f t="shared" ref="P12:P20" si="3">SUM(K12:O12)</f>
        <v>0</v>
      </c>
    </row>
    <row r="13" spans="1:16" x14ac:dyDescent="0.3">
      <c r="A13" s="85" t="s">
        <v>230</v>
      </c>
      <c r="B13" s="35"/>
      <c r="C13" s="35"/>
      <c r="D13" s="78">
        <f>P13-0.04</f>
        <v>1091.49</v>
      </c>
      <c r="E13" s="26">
        <v>0</v>
      </c>
      <c r="F13" s="26">
        <v>0</v>
      </c>
      <c r="G13" s="78">
        <f t="shared" si="2"/>
        <v>1091.49</v>
      </c>
      <c r="H13" s="26">
        <v>959</v>
      </c>
      <c r="K13" s="96">
        <f>Bank!Q69</f>
        <v>1091.53</v>
      </c>
      <c r="L13" s="96"/>
      <c r="M13" s="96"/>
      <c r="N13" s="96"/>
      <c r="O13" s="96"/>
      <c r="P13" s="96">
        <f t="shared" si="3"/>
        <v>1091.53</v>
      </c>
    </row>
    <row r="14" spans="1:16" x14ac:dyDescent="0.3">
      <c r="A14" s="85" t="s">
        <v>34</v>
      </c>
      <c r="B14" s="35"/>
      <c r="C14" s="35"/>
      <c r="D14" s="78">
        <f t="shared" si="1"/>
        <v>533.19999999999993</v>
      </c>
      <c r="E14" s="26">
        <v>0</v>
      </c>
      <c r="F14" s="26">
        <v>0</v>
      </c>
      <c r="G14" s="78">
        <f t="shared" si="2"/>
        <v>533.19999999999993</v>
      </c>
      <c r="H14" s="26">
        <v>691</v>
      </c>
      <c r="K14" s="96">
        <f>Bank!Q70</f>
        <v>224.34</v>
      </c>
      <c r="L14" s="96">
        <f>Bank!L18</f>
        <v>290.95999999999998</v>
      </c>
      <c r="M14" s="96"/>
      <c r="N14" s="96"/>
      <c r="O14" s="96">
        <f>'Notes to Accounts'!S123</f>
        <v>17.900000000000013</v>
      </c>
      <c r="P14" s="96">
        <f t="shared" si="3"/>
        <v>533.19999999999993</v>
      </c>
    </row>
    <row r="15" spans="1:16" x14ac:dyDescent="0.3">
      <c r="A15" s="85" t="s">
        <v>35</v>
      </c>
      <c r="B15" s="35"/>
      <c r="C15" s="35"/>
      <c r="D15" s="78">
        <f t="shared" si="1"/>
        <v>10683.6</v>
      </c>
      <c r="E15" s="26">
        <v>0</v>
      </c>
      <c r="F15" s="26">
        <v>0</v>
      </c>
      <c r="G15" s="78">
        <f t="shared" si="2"/>
        <v>10683.6</v>
      </c>
      <c r="H15" s="26">
        <v>8686</v>
      </c>
      <c r="K15" s="96"/>
      <c r="L15" s="96">
        <f>Bank!L17</f>
        <v>8632.2000000000007</v>
      </c>
      <c r="M15" s="96"/>
      <c r="N15" s="96"/>
      <c r="O15" s="96">
        <f>'Notes to Accounts'!R123</f>
        <v>2051.3999999999996</v>
      </c>
      <c r="P15" s="96">
        <f t="shared" si="3"/>
        <v>10683.6</v>
      </c>
    </row>
    <row r="16" spans="1:16" x14ac:dyDescent="0.3">
      <c r="A16" s="85" t="s">
        <v>231</v>
      </c>
      <c r="B16" s="35"/>
      <c r="C16" s="35"/>
      <c r="D16" s="78">
        <f t="shared" si="1"/>
        <v>600</v>
      </c>
      <c r="E16" s="26">
        <v>0</v>
      </c>
      <c r="F16" s="26">
        <v>0</v>
      </c>
      <c r="G16" s="78">
        <f t="shared" ref="G16" si="4">SUM(D16:F16)</f>
        <v>600</v>
      </c>
      <c r="H16" s="26">
        <v>800</v>
      </c>
      <c r="K16" s="96">
        <v>600</v>
      </c>
      <c r="L16" s="96"/>
      <c r="M16" s="96"/>
      <c r="N16" s="96"/>
      <c r="O16" s="96"/>
      <c r="P16" s="96">
        <f t="shared" si="3"/>
        <v>600</v>
      </c>
    </row>
    <row r="17" spans="1:18" x14ac:dyDescent="0.3">
      <c r="A17" s="85" t="s">
        <v>36</v>
      </c>
      <c r="B17" s="35"/>
      <c r="C17" s="35"/>
      <c r="D17" s="78">
        <f t="shared" si="1"/>
        <v>16318.84</v>
      </c>
      <c r="E17" s="26">
        <v>0</v>
      </c>
      <c r="F17" s="26">
        <v>0</v>
      </c>
      <c r="G17" s="78">
        <f t="shared" si="2"/>
        <v>16318.84</v>
      </c>
      <c r="H17" s="26">
        <v>14826</v>
      </c>
      <c r="K17" s="96">
        <v>16318.84</v>
      </c>
      <c r="L17" s="96"/>
      <c r="M17" s="96"/>
      <c r="N17" s="96"/>
      <c r="O17" s="96"/>
      <c r="P17" s="96">
        <f t="shared" si="3"/>
        <v>16318.84</v>
      </c>
    </row>
    <row r="18" spans="1:18" x14ac:dyDescent="0.3">
      <c r="A18" s="85" t="s">
        <v>232</v>
      </c>
      <c r="B18" s="35"/>
      <c r="C18" s="35"/>
      <c r="D18" s="78">
        <f t="shared" si="1"/>
        <v>4991.0200000000004</v>
      </c>
      <c r="E18" s="26">
        <v>0</v>
      </c>
      <c r="F18" s="26">
        <v>0</v>
      </c>
      <c r="G18" s="78">
        <f t="shared" si="2"/>
        <v>4991.0200000000004</v>
      </c>
      <c r="H18" s="26">
        <v>6956</v>
      </c>
      <c r="K18" s="96"/>
      <c r="L18" s="96">
        <f>Bank!L19</f>
        <v>4991.0200000000004</v>
      </c>
      <c r="M18" s="96"/>
      <c r="N18" s="96"/>
      <c r="O18" s="96"/>
      <c r="P18" s="96">
        <f t="shared" si="3"/>
        <v>4991.0200000000004</v>
      </c>
    </row>
    <row r="19" spans="1:18" x14ac:dyDescent="0.3">
      <c r="A19" s="85" t="s">
        <v>125</v>
      </c>
      <c r="B19" s="35"/>
      <c r="C19" s="35"/>
      <c r="D19" s="78">
        <f t="shared" si="1"/>
        <v>0</v>
      </c>
      <c r="E19" s="26">
        <v>0</v>
      </c>
      <c r="F19" s="26">
        <v>0</v>
      </c>
      <c r="G19" s="78">
        <f t="shared" si="2"/>
        <v>0</v>
      </c>
      <c r="H19" s="26">
        <v>0</v>
      </c>
      <c r="K19" s="96"/>
      <c r="L19" s="96" t="s">
        <v>376</v>
      </c>
      <c r="M19" s="96"/>
      <c r="N19" s="96"/>
      <c r="O19" s="96"/>
      <c r="P19" s="96">
        <f t="shared" si="3"/>
        <v>0</v>
      </c>
    </row>
    <row r="20" spans="1:18" x14ac:dyDescent="0.3">
      <c r="A20" s="85" t="s">
        <v>37</v>
      </c>
      <c r="B20" s="35"/>
      <c r="C20" s="35"/>
      <c r="D20" s="78">
        <f>P20++Q20</f>
        <v>1079.04</v>
      </c>
      <c r="E20" s="26">
        <v>0</v>
      </c>
      <c r="F20" s="26">
        <v>0</v>
      </c>
      <c r="G20" s="78">
        <f t="shared" si="2"/>
        <v>1079.04</v>
      </c>
      <c r="H20" s="26">
        <v>1296</v>
      </c>
      <c r="K20" s="96">
        <f>+Bank!Q80</f>
        <v>191.25</v>
      </c>
      <c r="L20" s="96"/>
      <c r="M20" s="96"/>
      <c r="N20" s="96"/>
      <c r="O20" s="96"/>
      <c r="P20" s="96">
        <f t="shared" si="3"/>
        <v>191.25</v>
      </c>
      <c r="Q20">
        <f>Bank!W26</f>
        <v>887.79</v>
      </c>
    </row>
    <row r="21" spans="1:18" x14ac:dyDescent="0.3">
      <c r="A21" s="35"/>
      <c r="B21" s="35"/>
      <c r="C21" s="35"/>
      <c r="D21" s="32" t="s">
        <v>124</v>
      </c>
      <c r="E21" s="32" t="s">
        <v>123</v>
      </c>
      <c r="F21" s="32" t="s">
        <v>123</v>
      </c>
      <c r="G21" s="32" t="s">
        <v>124</v>
      </c>
      <c r="H21" s="32" t="s">
        <v>124</v>
      </c>
      <c r="K21" s="96"/>
      <c r="L21" s="96"/>
      <c r="M21" s="96"/>
      <c r="N21" s="96"/>
      <c r="O21" s="96"/>
    </row>
    <row r="22" spans="1:18" x14ac:dyDescent="0.3">
      <c r="A22" s="35"/>
      <c r="B22" s="96">
        <f>D22</f>
        <v>102642.02</v>
      </c>
      <c r="C22" s="35"/>
      <c r="D22" s="78">
        <f>SUM(D11:D20)+0.1</f>
        <v>102642.02</v>
      </c>
      <c r="E22" s="78">
        <f>SUM(E11:E20)</f>
        <v>0</v>
      </c>
      <c r="F22" s="78">
        <f>SUM(F11:F20)</f>
        <v>0</v>
      </c>
      <c r="G22" s="78">
        <f>SUM(G11:G20)+0.1</f>
        <v>102642.02</v>
      </c>
      <c r="H22" s="78">
        <f>SUM(H11:H20)</f>
        <v>105649</v>
      </c>
      <c r="K22" s="96">
        <f>SUM(K11:K21)</f>
        <v>85770.689999999988</v>
      </c>
      <c r="L22" s="96">
        <f t="shared" ref="L22" si="5">SUM(L11:L21)</f>
        <v>13914.18</v>
      </c>
      <c r="M22" s="96">
        <f t="shared" ref="M22" si="6">SUM(M11:M21)</f>
        <v>0</v>
      </c>
      <c r="N22" s="96">
        <f t="shared" ref="N22" si="7">SUM(N11:N21)</f>
        <v>0</v>
      </c>
      <c r="O22" s="96">
        <f t="shared" ref="O22" si="8">SUM(O11:O21)</f>
        <v>2069.2999999999997</v>
      </c>
      <c r="P22" s="96">
        <f t="shared" ref="P22" si="9">SUM(P11:P21)</f>
        <v>101754.17</v>
      </c>
      <c r="Q22" s="96">
        <f>SUM(Q12:Q21)</f>
        <v>887.79</v>
      </c>
      <c r="R22" s="96">
        <f>P22+Q22</f>
        <v>102641.95999999999</v>
      </c>
    </row>
    <row r="23" spans="1:18" ht="18" customHeight="1" x14ac:dyDescent="0.3">
      <c r="A23" s="35" t="s">
        <v>233</v>
      </c>
      <c r="B23" s="35"/>
      <c r="C23" s="35"/>
      <c r="D23" s="26">
        <v>0</v>
      </c>
      <c r="E23" s="78">
        <f>P23+Q23</f>
        <v>3320.87</v>
      </c>
      <c r="F23" s="26">
        <v>0</v>
      </c>
      <c r="G23" s="78">
        <f t="shared" ref="G23:G25" si="10">SUM(D23:F23)</f>
        <v>3320.87</v>
      </c>
      <c r="H23" s="78">
        <v>3020</v>
      </c>
      <c r="K23" s="96"/>
      <c r="L23" s="96"/>
      <c r="M23" s="96"/>
      <c r="N23" s="96">
        <f>Bank!Q4</f>
        <v>3317.75</v>
      </c>
      <c r="O23" s="96"/>
      <c r="P23" s="96">
        <f t="shared" ref="P23:P25" si="11">SUM(K23:O23)</f>
        <v>3317.75</v>
      </c>
      <c r="Q23">
        <f>Bank!W27</f>
        <v>3.12</v>
      </c>
    </row>
    <row r="24" spans="1:18" x14ac:dyDescent="0.3">
      <c r="A24" s="35" t="s">
        <v>234</v>
      </c>
      <c r="B24" s="35"/>
      <c r="C24" s="35"/>
      <c r="D24" s="26">
        <v>0</v>
      </c>
      <c r="E24" s="78">
        <f>P24+Q24</f>
        <v>924.39</v>
      </c>
      <c r="F24" s="26">
        <v>0</v>
      </c>
      <c r="G24" s="78">
        <f t="shared" si="10"/>
        <v>924.39</v>
      </c>
      <c r="H24" s="26">
        <v>871</v>
      </c>
      <c r="K24" s="96"/>
      <c r="L24" s="96"/>
      <c r="M24" s="96">
        <f>Bank!G24</f>
        <v>924.33</v>
      </c>
      <c r="N24" s="96"/>
      <c r="O24" s="96"/>
      <c r="P24" s="96">
        <f t="shared" si="11"/>
        <v>924.33</v>
      </c>
      <c r="Q24">
        <f>Bank!W28</f>
        <v>0.06</v>
      </c>
    </row>
    <row r="25" spans="1:18" x14ac:dyDescent="0.3">
      <c r="A25" s="35" t="s">
        <v>61</v>
      </c>
      <c r="B25" s="35"/>
      <c r="C25" s="35"/>
      <c r="D25" s="26">
        <v>0</v>
      </c>
      <c r="E25" s="78">
        <f t="shared" ref="E25" si="12">P25</f>
        <v>427</v>
      </c>
      <c r="F25" s="26">
        <v>0</v>
      </c>
      <c r="G25" s="78">
        <f t="shared" si="10"/>
        <v>427</v>
      </c>
      <c r="H25" s="26">
        <v>794</v>
      </c>
      <c r="K25" s="96">
        <f>Bank!Q75</f>
        <v>427</v>
      </c>
      <c r="L25" s="96"/>
      <c r="M25" s="96"/>
      <c r="N25" s="96"/>
      <c r="O25" s="96"/>
      <c r="P25" s="96">
        <f t="shared" si="11"/>
        <v>427</v>
      </c>
    </row>
    <row r="26" spans="1:18" x14ac:dyDescent="0.3">
      <c r="A26" s="35"/>
      <c r="B26" s="35"/>
      <c r="C26" s="35"/>
      <c r="D26" s="32" t="s">
        <v>124</v>
      </c>
      <c r="E26" s="32" t="s">
        <v>123</v>
      </c>
      <c r="F26" s="32" t="s">
        <v>123</v>
      </c>
      <c r="G26" s="32" t="s">
        <v>124</v>
      </c>
      <c r="H26" s="32" t="s">
        <v>124</v>
      </c>
    </row>
    <row r="27" spans="1:18" x14ac:dyDescent="0.3">
      <c r="A27" s="36" t="s">
        <v>38</v>
      </c>
      <c r="B27" s="35"/>
      <c r="C27" s="35"/>
      <c r="D27" s="78">
        <f>SUM(D22:D26)</f>
        <v>102642.02</v>
      </c>
      <c r="E27" s="78">
        <f>SUM(E22:E26)</f>
        <v>4672.26</v>
      </c>
      <c r="F27" s="78">
        <f t="shared" ref="F27:H27" si="13">SUM(F22:F26)</f>
        <v>0</v>
      </c>
      <c r="G27" s="78">
        <f t="shared" si="13"/>
        <v>107314.28</v>
      </c>
      <c r="H27" s="78">
        <f t="shared" si="13"/>
        <v>110334</v>
      </c>
      <c r="K27" s="78">
        <f>SUM(K22:K26)</f>
        <v>86197.689999999988</v>
      </c>
      <c r="L27" s="78">
        <f t="shared" ref="L27:Q27" si="14">SUM(L22:L26)</f>
        <v>13914.18</v>
      </c>
      <c r="M27" s="78">
        <f t="shared" si="14"/>
        <v>924.33</v>
      </c>
      <c r="N27" s="78">
        <f t="shared" si="14"/>
        <v>3317.75</v>
      </c>
      <c r="O27" s="78">
        <f t="shared" si="14"/>
        <v>2069.2999999999997</v>
      </c>
      <c r="P27" s="78">
        <f t="shared" si="14"/>
        <v>106423.25</v>
      </c>
      <c r="Q27" s="78">
        <f t="shared" si="14"/>
        <v>890.96999999999991</v>
      </c>
      <c r="R27" s="52">
        <f>P27+Q27</f>
        <v>107314.22</v>
      </c>
    </row>
    <row r="29" spans="1:18" ht="15.6" x14ac:dyDescent="0.3">
      <c r="A29" s="20" t="s">
        <v>39</v>
      </c>
    </row>
    <row r="30" spans="1:18" x14ac:dyDescent="0.3">
      <c r="A30" t="s">
        <v>126</v>
      </c>
      <c r="C30">
        <v>4</v>
      </c>
      <c r="D30" s="78">
        <f>'Notes to Accounts'!E60</f>
        <v>150.21</v>
      </c>
      <c r="E30" s="78">
        <f>'Notes to Accounts'!F60</f>
        <v>0</v>
      </c>
      <c r="F30" s="78">
        <f>'Notes to Accounts'!G60</f>
        <v>0</v>
      </c>
      <c r="G30" s="78">
        <f>'Notes to Accounts'!H60</f>
        <v>150.21</v>
      </c>
      <c r="H30" s="78">
        <f>'Notes to Accounts'!I60</f>
        <v>155</v>
      </c>
    </row>
    <row r="31" spans="1:18" x14ac:dyDescent="0.3">
      <c r="A31" t="s">
        <v>101</v>
      </c>
      <c r="C31">
        <v>4</v>
      </c>
      <c r="D31" s="78">
        <f>'Notes to Accounts'!E79</f>
        <v>92288.540000000023</v>
      </c>
      <c r="E31" s="78">
        <f>'Notes to Accounts'!F79</f>
        <v>3122.0600000000004</v>
      </c>
      <c r="F31" s="78">
        <f>'Notes to Accounts'!G79</f>
        <v>0</v>
      </c>
      <c r="G31" s="78">
        <f>'Notes to Accounts'!H79+0.1</f>
        <v>95410.60000000002</v>
      </c>
      <c r="H31" s="78">
        <f>'Notes to Accounts'!I79</f>
        <v>90271</v>
      </c>
      <c r="K31" s="96">
        <f>D31</f>
        <v>92288.540000000023</v>
      </c>
      <c r="L31" s="96">
        <f>E31</f>
        <v>3122.0600000000004</v>
      </c>
    </row>
    <row r="32" spans="1:18" x14ac:dyDescent="0.3">
      <c r="A32" t="s">
        <v>41</v>
      </c>
      <c r="C32">
        <v>4</v>
      </c>
      <c r="D32" s="78">
        <f>'Notes to Accounts'!E82</f>
        <v>180</v>
      </c>
      <c r="E32" s="78">
        <f>'Notes to Accounts'!F82</f>
        <v>0</v>
      </c>
      <c r="F32" s="78">
        <f>'Notes to Accounts'!G82</f>
        <v>0</v>
      </c>
      <c r="G32" s="78">
        <f>'Notes to Accounts'!H82</f>
        <v>180</v>
      </c>
      <c r="H32" s="78">
        <f>'Notes to Accounts'!I82</f>
        <v>180</v>
      </c>
    </row>
    <row r="33" spans="1:12" x14ac:dyDescent="0.3">
      <c r="D33" s="32" t="s">
        <v>124</v>
      </c>
      <c r="E33" s="32" t="s">
        <v>123</v>
      </c>
      <c r="F33" s="32" t="s">
        <v>123</v>
      </c>
      <c r="G33" s="32" t="s">
        <v>124</v>
      </c>
      <c r="H33" s="32" t="s">
        <v>124</v>
      </c>
    </row>
    <row r="34" spans="1:12" x14ac:dyDescent="0.3">
      <c r="D34" s="78">
        <f>SUM(D30:D33)</f>
        <v>92618.750000000029</v>
      </c>
      <c r="E34" s="78">
        <f>SUM(E30:E33)</f>
        <v>3122.0600000000004</v>
      </c>
      <c r="F34" s="78">
        <f>SUM(F30:F33)</f>
        <v>0</v>
      </c>
      <c r="G34" s="78">
        <f>SUM(G30:G33)</f>
        <v>95740.810000000027</v>
      </c>
      <c r="H34" s="78">
        <f>SUM(H30:H33)</f>
        <v>90606</v>
      </c>
    </row>
    <row r="36" spans="1:12" x14ac:dyDescent="0.3">
      <c r="A36" t="s">
        <v>102</v>
      </c>
      <c r="C36">
        <v>4</v>
      </c>
      <c r="D36" s="78">
        <f>'Notes to Accounts'!E88</f>
        <v>10000</v>
      </c>
      <c r="E36" s="78">
        <f>'Notes to Accounts'!F88</f>
        <v>0</v>
      </c>
      <c r="F36" s="78">
        <f>'Notes to Accounts'!G88</f>
        <v>0</v>
      </c>
      <c r="G36" s="78">
        <f>'Notes to Accounts'!H88</f>
        <v>10000</v>
      </c>
      <c r="H36" s="78">
        <f>'Notes to Accounts'!I88</f>
        <v>25000</v>
      </c>
      <c r="K36" s="40"/>
    </row>
    <row r="37" spans="1:12" x14ac:dyDescent="0.3">
      <c r="D37" s="32" t="s">
        <v>124</v>
      </c>
      <c r="E37" s="32" t="s">
        <v>123</v>
      </c>
      <c r="F37" s="32" t="s">
        <v>123</v>
      </c>
      <c r="G37" s="32" t="s">
        <v>124</v>
      </c>
      <c r="H37" s="32" t="s">
        <v>124</v>
      </c>
    </row>
    <row r="38" spans="1:12" x14ac:dyDescent="0.3">
      <c r="A38" s="14" t="s">
        <v>42</v>
      </c>
      <c r="D38" s="78">
        <f>SUM(D34:D37)</f>
        <v>102618.75000000003</v>
      </c>
      <c r="E38" s="78">
        <f>SUM(E34:E36)</f>
        <v>3122.0600000000004</v>
      </c>
      <c r="F38" s="78">
        <f>SUM(F34:F36)</f>
        <v>0</v>
      </c>
      <c r="G38" s="78">
        <f>SUM(G34:G36)</f>
        <v>105740.81000000003</v>
      </c>
      <c r="H38" s="78">
        <f>SUM(H34:H36)</f>
        <v>115606</v>
      </c>
      <c r="K38" s="96">
        <f>D38</f>
        <v>102618.75000000003</v>
      </c>
      <c r="L38" s="96">
        <f>E38</f>
        <v>3122.0600000000004</v>
      </c>
    </row>
    <row r="39" spans="1:12" x14ac:dyDescent="0.3">
      <c r="D39" s="32" t="s">
        <v>124</v>
      </c>
      <c r="E39" s="32" t="s">
        <v>123</v>
      </c>
      <c r="F39" s="32" t="s">
        <v>123</v>
      </c>
      <c r="G39" s="32" t="s">
        <v>124</v>
      </c>
      <c r="H39" s="32" t="s">
        <v>124</v>
      </c>
    </row>
    <row r="40" spans="1:12" x14ac:dyDescent="0.3">
      <c r="A40" s="14" t="s">
        <v>43</v>
      </c>
    </row>
    <row r="41" spans="1:12" x14ac:dyDescent="0.3">
      <c r="A41" s="14" t="s">
        <v>44</v>
      </c>
      <c r="D41" s="78">
        <f>D27-D38</f>
        <v>23.269999999974971</v>
      </c>
      <c r="E41" s="78">
        <f>E27-E38</f>
        <v>1550.1999999999998</v>
      </c>
      <c r="F41" s="78">
        <f>F27-F38</f>
        <v>0</v>
      </c>
      <c r="G41" s="78">
        <f>G27-G38</f>
        <v>1573.4699999999721</v>
      </c>
      <c r="H41" s="78">
        <f>H27-H38</f>
        <v>-5272</v>
      </c>
      <c r="I41" s="52"/>
    </row>
    <row r="42" spans="1:12" x14ac:dyDescent="0.3">
      <c r="A42" t="s">
        <v>45</v>
      </c>
      <c r="C42">
        <v>2</v>
      </c>
      <c r="D42" s="26">
        <f>'Notes to Accounts'!H17</f>
        <v>600</v>
      </c>
      <c r="E42" s="26">
        <f>'Notes to Accounts'!H26</f>
        <v>-600</v>
      </c>
      <c r="F42" s="26">
        <f>'Notes to Accounts'!H29</f>
        <v>0</v>
      </c>
      <c r="G42" s="26">
        <f>SUM(D42:F42)</f>
        <v>0</v>
      </c>
      <c r="H42" s="26">
        <v>0</v>
      </c>
    </row>
    <row r="43" spans="1:12" x14ac:dyDescent="0.3">
      <c r="D43" s="32" t="s">
        <v>124</v>
      </c>
      <c r="E43" s="32" t="s">
        <v>123</v>
      </c>
      <c r="F43" s="32" t="s">
        <v>123</v>
      </c>
      <c r="G43" s="32" t="s">
        <v>124</v>
      </c>
      <c r="H43" s="32" t="s">
        <v>124</v>
      </c>
    </row>
    <row r="44" spans="1:12" x14ac:dyDescent="0.3">
      <c r="A44" s="14" t="s">
        <v>43</v>
      </c>
      <c r="D44" s="78">
        <f>SUM(D41:D43)</f>
        <v>623.26999999997497</v>
      </c>
      <c r="E44" s="78">
        <f>SUM(E41:E43)</f>
        <v>950.19999999999982</v>
      </c>
      <c r="F44" s="78">
        <f>SUM(F41:F43)</f>
        <v>0</v>
      </c>
      <c r="G44" s="78">
        <f>SUM(G41:G43)</f>
        <v>1573.4699999999721</v>
      </c>
      <c r="H44" s="78">
        <f>SUM(H41:H43)</f>
        <v>-5272</v>
      </c>
      <c r="K44" s="96">
        <f>G44</f>
        <v>1573.4699999999721</v>
      </c>
    </row>
    <row r="45" spans="1:12" x14ac:dyDescent="0.3">
      <c r="D45" s="32" t="s">
        <v>127</v>
      </c>
      <c r="E45" s="32" t="s">
        <v>122</v>
      </c>
      <c r="F45" s="32" t="s">
        <v>122</v>
      </c>
      <c r="G45" s="32" t="s">
        <v>127</v>
      </c>
      <c r="H45" s="32" t="s">
        <v>127</v>
      </c>
    </row>
    <row r="52" spans="5:5" x14ac:dyDescent="0.3">
      <c r="E52" s="23"/>
    </row>
  </sheetData>
  <pageMargins left="0.70866141732283472" right="0.70866141732283472" top="0.74803149606299213" bottom="0.74803149606299213" header="0.31496062992125984" footer="0.31496062992125984"/>
  <pageSetup paperSize="9" firstPageNumber="5" orientation="portrait" useFirstPageNumber="1" r:id="rId1"/>
  <headerFooter>
    <oddFooter>&amp;CPage &amp;P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3"/>
  <sheetViews>
    <sheetView workbookViewId="0">
      <selection activeCell="F29" sqref="F29"/>
    </sheetView>
  </sheetViews>
  <sheetFormatPr defaultRowHeight="14.4" x14ac:dyDescent="0.3"/>
  <cols>
    <col min="2" max="2" width="17" customWidth="1"/>
    <col min="3" max="3" width="4.5546875" customWidth="1"/>
    <col min="4" max="4" width="12.88671875" bestFit="1" customWidth="1"/>
    <col min="5" max="5" width="10.33203125" bestFit="1" customWidth="1"/>
    <col min="6" max="6" width="11.33203125" bestFit="1" customWidth="1"/>
    <col min="7" max="8" width="10.6640625" customWidth="1"/>
    <col min="10" max="10" width="11" customWidth="1"/>
    <col min="11" max="11" width="10.109375" customWidth="1"/>
  </cols>
  <sheetData>
    <row r="1" spans="1:12" ht="17.399999999999999" x14ac:dyDescent="0.3">
      <c r="A1" s="21" t="str">
        <f>'cover and guidance'!$A$9</f>
        <v>Kilsyth Anderson Church of Scotland</v>
      </c>
    </row>
    <row r="2" spans="1:12" ht="15.6" x14ac:dyDescent="0.3">
      <c r="A2" s="10" t="s">
        <v>46</v>
      </c>
      <c r="B2" s="20"/>
      <c r="C2" s="20"/>
      <c r="K2" s="90" t="s">
        <v>205</v>
      </c>
    </row>
    <row r="3" spans="1:12" ht="15.6" x14ac:dyDescent="0.3">
      <c r="A3" s="10" t="str">
        <f>CONCATENATE("At 31 December ",'R&amp;P Account'!$D$8)</f>
        <v>At 31 December 2025</v>
      </c>
      <c r="B3" s="10"/>
      <c r="C3" s="10"/>
      <c r="D3" s="2"/>
      <c r="E3" s="2"/>
    </row>
    <row r="4" spans="1:12" ht="15.6" x14ac:dyDescent="0.3">
      <c r="A4" s="2"/>
      <c r="B4" s="2"/>
      <c r="C4" s="2"/>
      <c r="D4" s="2"/>
      <c r="E4" s="2"/>
    </row>
    <row r="6" spans="1:12" x14ac:dyDescent="0.3">
      <c r="D6" s="37" t="s">
        <v>28</v>
      </c>
      <c r="E6" s="17" t="s">
        <v>29</v>
      </c>
      <c r="F6" s="37" t="s">
        <v>27</v>
      </c>
      <c r="G6" s="38"/>
      <c r="H6" s="38"/>
    </row>
    <row r="7" spans="1:12" x14ac:dyDescent="0.3">
      <c r="D7" s="37" t="s">
        <v>26</v>
      </c>
      <c r="E7" s="37" t="s">
        <v>26</v>
      </c>
      <c r="F7" s="37" t="s">
        <v>26</v>
      </c>
      <c r="G7" s="17" t="s">
        <v>25</v>
      </c>
      <c r="H7" s="17" t="s">
        <v>25</v>
      </c>
    </row>
    <row r="8" spans="1:12" x14ac:dyDescent="0.3">
      <c r="D8" s="37">
        <f>'R&amp;P Account'!$D$8</f>
        <v>2025</v>
      </c>
      <c r="E8" s="37">
        <f>'R&amp;P Account'!$D$8</f>
        <v>2025</v>
      </c>
      <c r="F8" s="37">
        <f>'R&amp;P Account'!$D$8</f>
        <v>2025</v>
      </c>
      <c r="G8" s="37">
        <f>'R&amp;P Account'!$D$8</f>
        <v>2025</v>
      </c>
      <c r="H8" s="37">
        <f>'R&amp;P Account'!$D$8-1</f>
        <v>2024</v>
      </c>
    </row>
    <row r="9" spans="1:12" x14ac:dyDescent="0.3">
      <c r="C9" s="16" t="s">
        <v>30</v>
      </c>
      <c r="D9" s="37" t="s">
        <v>103</v>
      </c>
      <c r="E9" s="37" t="s">
        <v>103</v>
      </c>
      <c r="F9" s="37" t="s">
        <v>103</v>
      </c>
      <c r="G9" s="37" t="s">
        <v>103</v>
      </c>
      <c r="H9" s="37" t="s">
        <v>103</v>
      </c>
    </row>
    <row r="11" spans="1:12" x14ac:dyDescent="0.3">
      <c r="A11" s="14" t="s">
        <v>47</v>
      </c>
    </row>
    <row r="12" spans="1:12" x14ac:dyDescent="0.3">
      <c r="A12" t="s">
        <v>48</v>
      </c>
      <c r="D12" s="11"/>
      <c r="E12" s="11"/>
      <c r="F12" s="11"/>
      <c r="G12" s="11"/>
      <c r="H12" s="11"/>
    </row>
    <row r="13" spans="1:12" x14ac:dyDescent="0.3">
      <c r="A13" t="s">
        <v>163</v>
      </c>
      <c r="B13" s="11"/>
      <c r="C13" s="11"/>
      <c r="D13" s="26">
        <f>'Notes to Accounts'!E17</f>
        <v>50335</v>
      </c>
      <c r="E13" s="26">
        <f>'Notes to Accounts'!E26</f>
        <v>4911</v>
      </c>
      <c r="F13" s="26">
        <f>'Notes to Accounts'!E31</f>
        <v>0</v>
      </c>
      <c r="G13" s="26">
        <f>SUM(D13:F13)</f>
        <v>55246</v>
      </c>
      <c r="H13" s="26">
        <f>G13-H17</f>
        <v>60518</v>
      </c>
      <c r="K13">
        <v>50335</v>
      </c>
      <c r="L13">
        <v>4911</v>
      </c>
    </row>
    <row r="14" spans="1:12" x14ac:dyDescent="0.3">
      <c r="A14" s="11"/>
      <c r="B14" s="11"/>
      <c r="C14" s="11"/>
      <c r="D14" s="26"/>
      <c r="E14" s="26"/>
      <c r="F14" s="26"/>
      <c r="G14" s="26"/>
      <c r="H14" s="26"/>
    </row>
    <row r="15" spans="1:12" x14ac:dyDescent="0.3">
      <c r="A15" s="14" t="s">
        <v>49</v>
      </c>
      <c r="B15" s="11"/>
      <c r="C15" s="11"/>
      <c r="D15" s="26"/>
      <c r="E15" s="26"/>
      <c r="F15" s="26"/>
      <c r="G15" s="26"/>
      <c r="H15" s="26"/>
    </row>
    <row r="16" spans="1:12" x14ac:dyDescent="0.3">
      <c r="A16" t="s">
        <v>50</v>
      </c>
      <c r="B16" s="11"/>
      <c r="C16" s="11"/>
    </row>
    <row r="17" spans="1:15" x14ac:dyDescent="0.3">
      <c r="A17" t="s">
        <v>39</v>
      </c>
      <c r="B17" s="11"/>
      <c r="C17" s="11"/>
      <c r="D17" s="26">
        <f>'R&amp;P Account'!D44</f>
        <v>623.26999999997497</v>
      </c>
      <c r="E17" s="26">
        <f>'R&amp;P Account'!E44</f>
        <v>950.19999999999982</v>
      </c>
      <c r="F17" s="26">
        <f>'R&amp;P Account'!F44</f>
        <v>0</v>
      </c>
      <c r="G17" s="26">
        <f>'R&amp;P Account'!G44</f>
        <v>1573.4699999999721</v>
      </c>
      <c r="H17" s="26">
        <f>'R&amp;P Account'!H44</f>
        <v>-5272</v>
      </c>
    </row>
    <row r="18" spans="1:15" x14ac:dyDescent="0.3">
      <c r="A18" s="11"/>
      <c r="B18" s="11"/>
      <c r="C18" s="11"/>
      <c r="D18" s="32" t="s">
        <v>124</v>
      </c>
      <c r="E18" s="32" t="s">
        <v>123</v>
      </c>
      <c r="F18" s="32" t="s">
        <v>123</v>
      </c>
      <c r="G18" s="32" t="s">
        <v>124</v>
      </c>
      <c r="H18" s="32" t="s">
        <v>124</v>
      </c>
    </row>
    <row r="19" spans="1:15" x14ac:dyDescent="0.3">
      <c r="A19" t="s">
        <v>48</v>
      </c>
      <c r="B19" s="11"/>
      <c r="C19" s="11"/>
      <c r="D19" s="11"/>
      <c r="E19" s="11"/>
      <c r="F19" s="11"/>
      <c r="G19" s="11"/>
      <c r="H19" s="11"/>
    </row>
    <row r="20" spans="1:15" x14ac:dyDescent="0.3">
      <c r="A20" t="s">
        <v>164</v>
      </c>
      <c r="B20" s="11"/>
      <c r="C20" s="11">
        <v>2</v>
      </c>
      <c r="D20" s="26">
        <f>SUM(D13:D17)</f>
        <v>50958.269999999975</v>
      </c>
      <c r="E20" s="26">
        <f>SUM(E13:E17)</f>
        <v>5861.2</v>
      </c>
      <c r="F20" s="26">
        <f>SUM(F13:F17)</f>
        <v>0</v>
      </c>
      <c r="G20" s="26">
        <f>SUM(G13:G17)</f>
        <v>56819.469999999972</v>
      </c>
      <c r="H20" s="121">
        <f>SUM(H13:H17)</f>
        <v>55246</v>
      </c>
      <c r="J20" s="96">
        <f>G20</f>
        <v>56819.469999999972</v>
      </c>
      <c r="K20" t="s">
        <v>168</v>
      </c>
    </row>
    <row r="21" spans="1:15" x14ac:dyDescent="0.3">
      <c r="A21" s="11"/>
      <c r="B21" s="11"/>
      <c r="C21" s="11"/>
      <c r="D21" s="32" t="s">
        <v>127</v>
      </c>
      <c r="E21" s="32" t="s">
        <v>122</v>
      </c>
      <c r="F21" s="32" t="s">
        <v>122</v>
      </c>
      <c r="G21" s="32" t="s">
        <v>127</v>
      </c>
      <c r="H21" s="32" t="s">
        <v>127</v>
      </c>
    </row>
    <row r="22" spans="1:15" x14ac:dyDescent="0.3">
      <c r="J22" s="96">
        <f>D20</f>
        <v>50958.269999999975</v>
      </c>
      <c r="K22" s="96">
        <f>E20</f>
        <v>5861.2</v>
      </c>
    </row>
    <row r="23" spans="1:15" x14ac:dyDescent="0.3">
      <c r="A23" s="14" t="s">
        <v>51</v>
      </c>
      <c r="B23" s="11"/>
      <c r="C23" s="11"/>
      <c r="D23" s="11"/>
      <c r="E23" s="11"/>
      <c r="F23" s="11"/>
      <c r="G23" s="11"/>
      <c r="H23" s="11"/>
    </row>
    <row r="24" spans="1:15" x14ac:dyDescent="0.3">
      <c r="A24" t="s">
        <v>295</v>
      </c>
      <c r="B24" s="11"/>
      <c r="C24" s="11">
        <v>7</v>
      </c>
      <c r="D24" s="78">
        <f>'Notes to Accounts'!I120</f>
        <v>199848.94</v>
      </c>
      <c r="E24" s="78">
        <v>0</v>
      </c>
      <c r="F24" s="78">
        <f>'Notes to Accounts'!I113</f>
        <v>15649.860000000002</v>
      </c>
      <c r="G24" s="78">
        <f>SUM(D24:F24)</f>
        <v>215498.80000000002</v>
      </c>
      <c r="H24" s="78">
        <f>'Notes to Accounts'!E123</f>
        <v>199353.98489051097</v>
      </c>
      <c r="I24" s="52">
        <f>G20+G24</f>
        <v>272318.27</v>
      </c>
      <c r="J24" s="52">
        <f>H20+H24</f>
        <v>254599.98489051097</v>
      </c>
      <c r="K24" s="52">
        <f>I24-J24</f>
        <v>17718.28510948905</v>
      </c>
    </row>
    <row r="25" spans="1:15" x14ac:dyDescent="0.3">
      <c r="A25" s="11"/>
      <c r="B25" s="11"/>
      <c r="C25" s="11"/>
      <c r="D25" s="32" t="s">
        <v>127</v>
      </c>
      <c r="E25" s="32" t="s">
        <v>122</v>
      </c>
      <c r="F25" s="32" t="s">
        <v>127</v>
      </c>
      <c r="G25" s="32" t="s">
        <v>127</v>
      </c>
      <c r="H25" s="32" t="s">
        <v>127</v>
      </c>
    </row>
    <row r="26" spans="1:15" x14ac:dyDescent="0.3">
      <c r="A26" s="11"/>
      <c r="B26" s="11"/>
      <c r="C26" s="11"/>
      <c r="D26" s="11"/>
      <c r="E26" s="11"/>
      <c r="F26" s="11"/>
      <c r="G26" s="11"/>
      <c r="H26" s="11"/>
      <c r="K26" s="52"/>
      <c r="O26">
        <v>0</v>
      </c>
    </row>
    <row r="27" spans="1:15" x14ac:dyDescent="0.3">
      <c r="A27" s="14" t="s">
        <v>52</v>
      </c>
      <c r="B27" s="11"/>
      <c r="C27" s="11"/>
      <c r="D27" s="11"/>
      <c r="E27" s="11"/>
      <c r="F27" s="11"/>
      <c r="G27" s="11"/>
      <c r="H27" s="11"/>
    </row>
    <row r="28" spans="1:15" x14ac:dyDescent="0.3">
      <c r="A28" s="81" t="s">
        <v>53</v>
      </c>
      <c r="B28" s="11"/>
      <c r="C28" s="11"/>
      <c r="D28" s="26">
        <v>0</v>
      </c>
      <c r="E28" s="26">
        <v>0</v>
      </c>
      <c r="F28" s="26">
        <v>0</v>
      </c>
      <c r="G28" s="78">
        <f>SUM(D28:F28)</f>
        <v>0</v>
      </c>
      <c r="H28" s="26">
        <v>0</v>
      </c>
      <c r="K28" t="s">
        <v>169</v>
      </c>
    </row>
    <row r="29" spans="1:15" x14ac:dyDescent="0.3">
      <c r="A29" s="11"/>
      <c r="B29" s="11"/>
      <c r="C29" s="11"/>
      <c r="D29" s="32" t="s">
        <v>128</v>
      </c>
      <c r="E29" s="32" t="s">
        <v>122</v>
      </c>
      <c r="F29" s="32" t="s">
        <v>122</v>
      </c>
      <c r="G29" s="32" t="s">
        <v>128</v>
      </c>
      <c r="H29" s="32" t="s">
        <v>128</v>
      </c>
    </row>
    <row r="30" spans="1:15" x14ac:dyDescent="0.3">
      <c r="A30" s="14" t="s">
        <v>54</v>
      </c>
      <c r="B30" s="11"/>
      <c r="C30" s="11"/>
      <c r="D30" s="11"/>
      <c r="E30" s="11"/>
      <c r="F30" s="11"/>
      <c r="G30" s="11"/>
      <c r="H30" s="11"/>
    </row>
    <row r="31" spans="1:15" x14ac:dyDescent="0.3">
      <c r="A31" s="81" t="s">
        <v>242</v>
      </c>
      <c r="B31" s="11"/>
      <c r="C31" s="11"/>
      <c r="D31" s="26">
        <v>0</v>
      </c>
      <c r="E31" s="26">
        <v>0</v>
      </c>
      <c r="F31" s="26">
        <v>0</v>
      </c>
      <c r="G31" s="78">
        <f>SUM(D31:F31)</f>
        <v>0</v>
      </c>
      <c r="H31" s="26">
        <v>0</v>
      </c>
      <c r="K31" t="s">
        <v>169</v>
      </c>
    </row>
    <row r="32" spans="1:15" x14ac:dyDescent="0.3">
      <c r="A32" s="11"/>
      <c r="B32" s="11"/>
      <c r="C32" s="11"/>
      <c r="D32" s="32" t="s">
        <v>127</v>
      </c>
      <c r="E32" s="32" t="s">
        <v>122</v>
      </c>
      <c r="F32" s="32" t="s">
        <v>127</v>
      </c>
      <c r="G32" s="32" t="s">
        <v>127</v>
      </c>
      <c r="H32" s="32" t="s">
        <v>127</v>
      </c>
    </row>
    <row r="33" spans="1:8" x14ac:dyDescent="0.3">
      <c r="A33" s="11"/>
      <c r="B33" s="11"/>
      <c r="C33" s="11"/>
      <c r="D33" s="11"/>
      <c r="E33" s="11"/>
      <c r="F33" s="11"/>
      <c r="G33" s="11"/>
      <c r="H33" s="11"/>
    </row>
    <row r="34" spans="1:8" x14ac:dyDescent="0.3">
      <c r="A34" s="81" t="s">
        <v>413</v>
      </c>
      <c r="B34" s="11"/>
      <c r="C34" s="11"/>
      <c r="D34" s="11"/>
      <c r="E34" s="11"/>
      <c r="F34" s="11"/>
      <c r="G34" s="11"/>
      <c r="H34" s="11"/>
    </row>
    <row r="35" spans="1:8" x14ac:dyDescent="0.3">
      <c r="A35" s="11"/>
      <c r="B35" s="11"/>
      <c r="C35" s="11"/>
      <c r="D35" s="11"/>
      <c r="E35" s="11"/>
      <c r="F35" s="11"/>
      <c r="G35" s="11"/>
      <c r="H35" s="11"/>
    </row>
    <row r="36" spans="1:8" x14ac:dyDescent="0.3">
      <c r="A36" s="11"/>
      <c r="B36" s="11"/>
      <c r="C36" s="11"/>
      <c r="D36" s="11"/>
      <c r="E36" s="11"/>
      <c r="F36" s="11"/>
      <c r="G36" s="11"/>
      <c r="H36" s="11"/>
    </row>
    <row r="37" spans="1:8" x14ac:dyDescent="0.3">
      <c r="A37" s="11"/>
      <c r="B37" s="11"/>
      <c r="C37" s="11"/>
      <c r="D37" s="11"/>
      <c r="E37" s="11"/>
      <c r="F37" s="11"/>
      <c r="G37" s="11"/>
      <c r="H37" s="11"/>
    </row>
    <row r="38" spans="1:8" x14ac:dyDescent="0.3">
      <c r="A38" s="72"/>
      <c r="B38" s="72"/>
      <c r="C38" s="72"/>
      <c r="D38" s="72"/>
      <c r="E38" s="72"/>
      <c r="F38" s="13" t="s">
        <v>414</v>
      </c>
      <c r="G38" s="11"/>
      <c r="H38" s="11"/>
    </row>
    <row r="39" spans="1:8" x14ac:dyDescent="0.3">
      <c r="A39" s="11"/>
      <c r="B39" s="11"/>
      <c r="C39" s="11"/>
      <c r="D39" s="11"/>
      <c r="E39" s="11"/>
      <c r="F39" s="11"/>
      <c r="G39" s="11"/>
      <c r="H39" s="11"/>
    </row>
    <row r="41" spans="1:8" x14ac:dyDescent="0.3">
      <c r="A41" s="11"/>
      <c r="B41" s="11"/>
      <c r="C41" s="11"/>
      <c r="D41" s="11"/>
      <c r="E41" s="11"/>
      <c r="F41" s="14"/>
    </row>
    <row r="43" spans="1:8" x14ac:dyDescent="0.3">
      <c r="E43" s="23"/>
    </row>
  </sheetData>
  <pageMargins left="0.70866141732283472" right="0.70866141732283472" top="0.74803149606299213" bottom="0.74803149606299213" header="0.31496062992125984" footer="0.31496062992125984"/>
  <pageSetup paperSize="9" firstPageNumber="6" orientation="portrait" useFirstPageNumber="1" r:id="rId1"/>
  <headerFoot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45"/>
  <sheetViews>
    <sheetView topLeftCell="A10" workbookViewId="0">
      <selection activeCell="E18" sqref="E18"/>
    </sheetView>
  </sheetViews>
  <sheetFormatPr defaultRowHeight="14.4" x14ac:dyDescent="0.3"/>
  <cols>
    <col min="1" max="1" width="3.33203125" customWidth="1"/>
    <col min="4" max="4" width="11.5546875" bestFit="1" customWidth="1"/>
    <col min="5" max="5" width="11.44140625" customWidth="1"/>
    <col min="6" max="6" width="10.6640625" customWidth="1"/>
    <col min="7" max="7" width="11.6640625" customWidth="1"/>
    <col min="8" max="8" width="11.33203125" customWidth="1"/>
    <col min="9" max="9" width="10.6640625" customWidth="1"/>
    <col min="10" max="10" width="10.109375" customWidth="1"/>
    <col min="11" max="11" width="10.6640625" customWidth="1"/>
    <col min="12" max="12" width="10.109375" customWidth="1"/>
    <col min="13" max="13" width="11.33203125" bestFit="1" customWidth="1"/>
    <col min="14" max="14" width="11" customWidth="1"/>
    <col min="15" max="15" width="10.33203125" bestFit="1" customWidth="1"/>
    <col min="16" max="16" width="11.109375" customWidth="1"/>
    <col min="18" max="18" width="9.33203125" bestFit="1" customWidth="1"/>
    <col min="20" max="20" width="9.33203125" bestFit="1" customWidth="1"/>
    <col min="22" max="22" width="9.77734375" customWidth="1"/>
  </cols>
  <sheetData>
    <row r="1" spans="1:16" ht="17.399999999999999" x14ac:dyDescent="0.3">
      <c r="A1" s="21" t="str">
        <f>'cover and guidance'!$A$9</f>
        <v>Kilsyth Anderson Church of Scotland</v>
      </c>
    </row>
    <row r="2" spans="1:16" ht="15.6" x14ac:dyDescent="0.3">
      <c r="A2" s="10" t="s">
        <v>56</v>
      </c>
      <c r="B2" s="10"/>
      <c r="C2" s="10"/>
      <c r="D2" s="10"/>
      <c r="E2" s="2"/>
      <c r="F2" s="2"/>
      <c r="G2" s="2"/>
      <c r="H2" s="2"/>
      <c r="I2" s="2"/>
    </row>
    <row r="3" spans="1:16" ht="15.6" x14ac:dyDescent="0.3">
      <c r="A3" s="10" t="str">
        <f>CONCATENATE("for the year ended 31 December ",'R&amp;P Account'!$D$8)</f>
        <v>for the year ended 31 December 2025</v>
      </c>
      <c r="B3" s="10"/>
      <c r="C3" s="10"/>
      <c r="D3" s="10"/>
      <c r="E3" s="2"/>
      <c r="F3" s="2"/>
      <c r="G3" s="2"/>
      <c r="H3" s="2"/>
      <c r="I3" s="2"/>
      <c r="L3" s="90" t="s">
        <v>205</v>
      </c>
    </row>
    <row r="4" spans="1:16" ht="15.6" x14ac:dyDescent="0.3">
      <c r="A4" s="10"/>
      <c r="B4" s="10"/>
      <c r="C4" s="10"/>
      <c r="D4" s="10"/>
      <c r="E4" s="2"/>
      <c r="F4" s="2"/>
      <c r="G4" s="2"/>
      <c r="H4" s="2"/>
      <c r="I4" s="2"/>
    </row>
    <row r="5" spans="1:16" ht="15.6" x14ac:dyDescent="0.3">
      <c r="A5" s="2"/>
      <c r="B5" s="2"/>
      <c r="C5" s="2"/>
      <c r="D5" s="2"/>
      <c r="E5" s="2"/>
      <c r="F5" s="2"/>
      <c r="G5" s="2"/>
      <c r="H5" s="2"/>
      <c r="I5" s="2"/>
    </row>
    <row r="6" spans="1:16" ht="15.6" x14ac:dyDescent="0.3">
      <c r="A6" s="73" t="s">
        <v>116</v>
      </c>
      <c r="B6" s="20" t="s">
        <v>57</v>
      </c>
      <c r="C6" s="2"/>
      <c r="D6" s="2"/>
      <c r="E6" s="2"/>
      <c r="F6" s="2"/>
      <c r="G6" s="2"/>
      <c r="H6" s="2"/>
      <c r="I6" s="2"/>
    </row>
    <row r="7" spans="1:16" ht="63" customHeight="1" x14ac:dyDescent="0.3">
      <c r="A7" s="2"/>
      <c r="B7" s="127" t="s">
        <v>151</v>
      </c>
      <c r="C7" s="127"/>
      <c r="D7" s="127"/>
      <c r="E7" s="127"/>
      <c r="F7" s="127"/>
      <c r="G7" s="127"/>
      <c r="H7" s="127"/>
      <c r="I7" s="127"/>
    </row>
    <row r="9" spans="1:16" ht="15.6" x14ac:dyDescent="0.3">
      <c r="A9" s="73" t="s">
        <v>117</v>
      </c>
      <c r="B9" s="20" t="s">
        <v>152</v>
      </c>
    </row>
    <row r="10" spans="1:16" x14ac:dyDescent="0.3">
      <c r="E10" s="17" t="s">
        <v>97</v>
      </c>
      <c r="F10" s="14"/>
      <c r="G10" s="14"/>
      <c r="H10" s="14"/>
      <c r="I10" s="17" t="s">
        <v>98</v>
      </c>
    </row>
    <row r="11" spans="1:16" x14ac:dyDescent="0.3">
      <c r="E11" s="14">
        <f>'R&amp;P Account'!$D$8</f>
        <v>2025</v>
      </c>
      <c r="F11" s="17" t="s">
        <v>31</v>
      </c>
      <c r="G11" s="17" t="s">
        <v>39</v>
      </c>
      <c r="H11" s="17" t="s">
        <v>45</v>
      </c>
      <c r="I11" s="14">
        <f>'R&amp;P Account'!$D$8</f>
        <v>2025</v>
      </c>
    </row>
    <row r="12" spans="1:16" x14ac:dyDescent="0.3">
      <c r="E12" s="17" t="s">
        <v>103</v>
      </c>
      <c r="F12" s="17" t="s">
        <v>103</v>
      </c>
      <c r="G12" s="17" t="s">
        <v>103</v>
      </c>
      <c r="H12" s="17" t="s">
        <v>103</v>
      </c>
      <c r="I12" s="17" t="s">
        <v>103</v>
      </c>
    </row>
    <row r="13" spans="1:16" x14ac:dyDescent="0.3">
      <c r="B13" s="12" t="s">
        <v>58</v>
      </c>
      <c r="C13" s="28"/>
      <c r="D13" s="29"/>
      <c r="E13" s="29"/>
      <c r="F13" s="29"/>
      <c r="G13" s="29"/>
      <c r="L13" s="14" t="s">
        <v>165</v>
      </c>
    </row>
    <row r="14" spans="1:16" x14ac:dyDescent="0.3">
      <c r="B14" s="81" t="s">
        <v>111</v>
      </c>
      <c r="C14" s="31"/>
      <c r="E14" s="26">
        <v>25181</v>
      </c>
      <c r="F14" s="26">
        <f>Bank!L21+0.76</f>
        <v>13914.94</v>
      </c>
      <c r="G14" s="26">
        <f>Bank!M12+Bank!M13-0.1</f>
        <v>-9533.52</v>
      </c>
      <c r="H14" s="26">
        <v>0</v>
      </c>
      <c r="I14" s="78">
        <f>SUM(E14:H14)</f>
        <v>29562.420000000002</v>
      </c>
      <c r="J14" s="101">
        <f>I14</f>
        <v>29562.420000000002</v>
      </c>
      <c r="P14" s="101">
        <v>-9533.42</v>
      </c>
    </row>
    <row r="15" spans="1:16" x14ac:dyDescent="0.3">
      <c r="B15" s="81" t="s">
        <v>59</v>
      </c>
      <c r="C15" s="31"/>
      <c r="E15" s="26">
        <v>25154</v>
      </c>
      <c r="F15" s="26">
        <f>'R&amp;P Account'!D27-F14</f>
        <v>88727.08</v>
      </c>
      <c r="G15" s="26">
        <f>-'R&amp;P Account'!D38-G14</f>
        <v>-93085.230000000025</v>
      </c>
      <c r="H15" s="26">
        <f>-H23</f>
        <v>600</v>
      </c>
      <c r="I15" s="78">
        <f>SUM(E15:H15)</f>
        <v>21395.849999999977</v>
      </c>
      <c r="L15" s="31"/>
      <c r="M15" s="89" t="s">
        <v>201</v>
      </c>
      <c r="P15" s="101">
        <v>-93085.330000000031</v>
      </c>
    </row>
    <row r="16" spans="1:16" x14ac:dyDescent="0.3">
      <c r="B16" s="30"/>
      <c r="C16" s="31"/>
      <c r="E16" s="32" t="s">
        <v>150</v>
      </c>
      <c r="F16" s="32" t="s">
        <v>149</v>
      </c>
      <c r="G16" s="32" t="s">
        <v>149</v>
      </c>
      <c r="H16" s="32" t="s">
        <v>112</v>
      </c>
      <c r="I16" s="32" t="s">
        <v>150</v>
      </c>
      <c r="L16" s="88"/>
      <c r="M16" s="89" t="s">
        <v>202</v>
      </c>
    </row>
    <row r="17" spans="2:16" x14ac:dyDescent="0.3">
      <c r="B17" s="30"/>
      <c r="C17" s="31"/>
      <c r="E17" s="78">
        <f>SUM(E14:E16)</f>
        <v>50335</v>
      </c>
      <c r="F17" s="78">
        <f>SUM(F14:F16)</f>
        <v>102642.02</v>
      </c>
      <c r="G17" s="78">
        <f>SUM(G14:G16)</f>
        <v>-102618.75000000003</v>
      </c>
      <c r="H17" s="78">
        <f>SUM(H14:H16)</f>
        <v>600</v>
      </c>
      <c r="I17" s="78">
        <f>SUM(I14:I16)</f>
        <v>50958.269999999975</v>
      </c>
      <c r="M17" s="31" t="str">
        <f>IF(I17='Statement of Balances'!D20,"ok",'Statement of Balances'!D20-'Notes to Accounts'!I17)</f>
        <v>ok</v>
      </c>
    </row>
    <row r="18" spans="2:16" x14ac:dyDescent="0.3">
      <c r="B18" s="30"/>
      <c r="C18" s="31"/>
      <c r="E18" s="32" t="s">
        <v>150</v>
      </c>
      <c r="F18" s="32" t="s">
        <v>149</v>
      </c>
      <c r="G18" s="32" t="s">
        <v>149</v>
      </c>
      <c r="H18" s="32" t="s">
        <v>112</v>
      </c>
      <c r="I18" s="32" t="s">
        <v>150</v>
      </c>
    </row>
    <row r="19" spans="2:16" x14ac:dyDescent="0.3">
      <c r="B19" s="12" t="s">
        <v>60</v>
      </c>
      <c r="C19" s="31"/>
      <c r="E19" s="29"/>
      <c r="F19" s="29"/>
      <c r="G19" s="29"/>
      <c r="H19" s="29"/>
      <c r="I19" s="29"/>
      <c r="J19" s="101"/>
      <c r="K19" s="104"/>
      <c r="L19" s="105" t="s">
        <v>393</v>
      </c>
      <c r="M19" s="105"/>
      <c r="N19" s="105" t="s">
        <v>394</v>
      </c>
      <c r="O19" s="105"/>
      <c r="P19" s="106"/>
    </row>
    <row r="20" spans="2:16" x14ac:dyDescent="0.3">
      <c r="B20" s="81" t="s">
        <v>61</v>
      </c>
      <c r="E20" s="26">
        <v>1211</v>
      </c>
      <c r="F20" s="26">
        <f>'R&amp;P Account'!E25</f>
        <v>427</v>
      </c>
      <c r="G20" s="26">
        <f>-F74</f>
        <v>0</v>
      </c>
      <c r="H20" s="26">
        <v>0</v>
      </c>
      <c r="I20" s="78">
        <f t="shared" ref="I20:I21" si="0">SUM(E20:H20)</f>
        <v>1638</v>
      </c>
      <c r="K20" s="107" t="s">
        <v>395</v>
      </c>
      <c r="L20" s="52">
        <f>I15</f>
        <v>21395.849999999977</v>
      </c>
      <c r="N20" s="101">
        <f>Bank!S17+Bank!S25+Bank!S26</f>
        <v>25210.239999999998</v>
      </c>
      <c r="P20" s="108"/>
    </row>
    <row r="21" spans="2:16" x14ac:dyDescent="0.3">
      <c r="B21" s="81" t="s">
        <v>218</v>
      </c>
      <c r="E21" s="26">
        <v>797</v>
      </c>
      <c r="F21" s="26">
        <v>0</v>
      </c>
      <c r="G21" s="26">
        <v>0</v>
      </c>
      <c r="H21" s="26">
        <v>0</v>
      </c>
      <c r="I21" s="78">
        <f t="shared" si="0"/>
        <v>797</v>
      </c>
      <c r="K21" s="107" t="s">
        <v>396</v>
      </c>
      <c r="L21" s="52">
        <f>I20</f>
        <v>1638</v>
      </c>
      <c r="P21" s="108"/>
    </row>
    <row r="22" spans="2:16" x14ac:dyDescent="0.3">
      <c r="B22" s="81" t="s">
        <v>219</v>
      </c>
      <c r="C22" s="31"/>
      <c r="E22" s="26">
        <v>743</v>
      </c>
      <c r="F22" s="26">
        <v>0</v>
      </c>
      <c r="G22" s="26">
        <v>0</v>
      </c>
      <c r="H22" s="26">
        <v>0</v>
      </c>
      <c r="I22" s="78">
        <f>SUM(E22:H22)</f>
        <v>743</v>
      </c>
      <c r="K22" s="107" t="s">
        <v>397</v>
      </c>
      <c r="L22" s="52">
        <f t="shared" ref="L22:L23" si="1">I21</f>
        <v>797</v>
      </c>
      <c r="P22" s="108"/>
    </row>
    <row r="23" spans="2:16" x14ac:dyDescent="0.3">
      <c r="B23" s="81" t="s">
        <v>86</v>
      </c>
      <c r="C23" s="31"/>
      <c r="E23" s="26">
        <v>1360</v>
      </c>
      <c r="F23" s="26">
        <f>'R&amp;P Account'!E23</f>
        <v>3320.87</v>
      </c>
      <c r="G23" s="26">
        <f>-F75</f>
        <v>-2214.4</v>
      </c>
      <c r="H23" s="26">
        <f>Bank!R6</f>
        <v>-600</v>
      </c>
      <c r="I23" s="78">
        <f>SUM(E23:H23)</f>
        <v>1866.4699999999998</v>
      </c>
      <c r="J23" s="101">
        <f>I23</f>
        <v>1866.4699999999998</v>
      </c>
      <c r="K23" s="110" t="s">
        <v>219</v>
      </c>
      <c r="L23" s="120">
        <f t="shared" si="1"/>
        <v>743</v>
      </c>
      <c r="M23" s="118">
        <f>SUM(L20:L23)</f>
        <v>24573.849999999977</v>
      </c>
      <c r="N23" s="111"/>
      <c r="O23" s="111"/>
      <c r="P23" s="112"/>
    </row>
    <row r="24" spans="2:16" x14ac:dyDescent="0.3">
      <c r="B24" s="81" t="s">
        <v>113</v>
      </c>
      <c r="C24" s="31"/>
      <c r="E24" s="26">
        <v>800</v>
      </c>
      <c r="F24" s="26">
        <f>'R&amp;P Account'!E24</f>
        <v>924.39</v>
      </c>
      <c r="G24" s="26">
        <f>-F76</f>
        <v>-907.66000000000008</v>
      </c>
      <c r="H24" s="26">
        <v>0</v>
      </c>
      <c r="I24" s="78">
        <f>SUM(E24:H24)</f>
        <v>816.72999999999979</v>
      </c>
      <c r="J24" s="101">
        <f>I24</f>
        <v>816.72999999999979</v>
      </c>
    </row>
    <row r="25" spans="2:16" x14ac:dyDescent="0.3">
      <c r="B25" s="30"/>
      <c r="C25" s="31"/>
      <c r="E25" s="32" t="s">
        <v>112</v>
      </c>
      <c r="F25" s="32" t="s">
        <v>148</v>
      </c>
      <c r="G25" s="32" t="s">
        <v>148</v>
      </c>
      <c r="H25" s="32" t="s">
        <v>112</v>
      </c>
      <c r="I25" s="32" t="s">
        <v>150</v>
      </c>
      <c r="M25" s="89" t="s">
        <v>202</v>
      </c>
    </row>
    <row r="26" spans="2:16" x14ac:dyDescent="0.3">
      <c r="B26" s="30"/>
      <c r="C26" s="31"/>
      <c r="E26" s="78">
        <f>SUM(E20:E25)</f>
        <v>4911</v>
      </c>
      <c r="F26" s="78">
        <f>SUM(F20:F25)</f>
        <v>4672.26</v>
      </c>
      <c r="G26" s="78">
        <f>SUM(G20:G25)</f>
        <v>-3122.0600000000004</v>
      </c>
      <c r="H26" s="78">
        <f>SUM(H20:H25)</f>
        <v>-600</v>
      </c>
      <c r="I26" s="78">
        <f>SUM(I20:I25)</f>
        <v>5861.1999999999989</v>
      </c>
      <c r="L26" s="52"/>
      <c r="M26" s="31" t="str">
        <f>IF(I26='Statement of Balances'!E20,"ok",'Statement of Balances'!E20-'Notes to Accounts'!I26)</f>
        <v>ok</v>
      </c>
    </row>
    <row r="27" spans="2:16" x14ac:dyDescent="0.3">
      <c r="B27" s="33"/>
      <c r="C27" s="31"/>
      <c r="E27" s="32" t="s">
        <v>112</v>
      </c>
      <c r="F27" s="32" t="s">
        <v>148</v>
      </c>
      <c r="G27" s="32" t="s">
        <v>148</v>
      </c>
      <c r="H27" s="32" t="s">
        <v>112</v>
      </c>
      <c r="I27" s="32" t="s">
        <v>150</v>
      </c>
    </row>
    <row r="28" spans="2:16" x14ac:dyDescent="0.3">
      <c r="B28" s="12" t="s">
        <v>114</v>
      </c>
      <c r="C28" s="31"/>
      <c r="E28" s="29"/>
      <c r="F28" s="29"/>
      <c r="G28" s="29"/>
      <c r="H28" s="29"/>
      <c r="I28" s="29"/>
      <c r="J28" s="101"/>
    </row>
    <row r="29" spans="2:16" x14ac:dyDescent="0.3">
      <c r="B29" s="81" t="s">
        <v>242</v>
      </c>
      <c r="C29" s="31"/>
      <c r="E29" s="26">
        <v>0</v>
      </c>
      <c r="F29" s="26">
        <v>0</v>
      </c>
      <c r="G29" s="26">
        <v>0</v>
      </c>
      <c r="H29" s="26">
        <v>0</v>
      </c>
      <c r="I29" s="78">
        <f>SUM(E29:H29)</f>
        <v>0</v>
      </c>
      <c r="M29" s="89" t="s">
        <v>201</v>
      </c>
    </row>
    <row r="30" spans="2:16" x14ac:dyDescent="0.3">
      <c r="B30" s="30"/>
      <c r="C30" s="31"/>
      <c r="E30" s="32" t="s">
        <v>148</v>
      </c>
      <c r="F30" s="32" t="s">
        <v>150</v>
      </c>
      <c r="G30" s="32" t="s">
        <v>148</v>
      </c>
      <c r="H30" s="32" t="s">
        <v>112</v>
      </c>
      <c r="I30" s="32" t="s">
        <v>149</v>
      </c>
      <c r="M30" s="89" t="s">
        <v>202</v>
      </c>
    </row>
    <row r="31" spans="2:16" x14ac:dyDescent="0.3">
      <c r="B31" s="30"/>
      <c r="C31" s="31"/>
      <c r="E31" s="78">
        <f>SUM(E29:E30)</f>
        <v>0</v>
      </c>
      <c r="F31" s="78">
        <f>SUM(F29:F30)</f>
        <v>0</v>
      </c>
      <c r="G31" s="78">
        <f>SUM(G29:G30)</f>
        <v>0</v>
      </c>
      <c r="H31" s="78">
        <f>SUM(H29:H30)</f>
        <v>0</v>
      </c>
      <c r="I31" s="78">
        <f>SUM(I29:I30)</f>
        <v>0</v>
      </c>
      <c r="M31" s="31" t="str">
        <f>IF(I31='Statement of Balances'!F20,"ok",'Statement of Balances'!F20-'Notes to Accounts'!I31)</f>
        <v>ok</v>
      </c>
    </row>
    <row r="32" spans="2:16" x14ac:dyDescent="0.3">
      <c r="B32" s="30"/>
      <c r="C32" s="31"/>
      <c r="E32" s="32" t="s">
        <v>148</v>
      </c>
      <c r="F32" s="32" t="s">
        <v>149</v>
      </c>
      <c r="G32" s="32" t="s">
        <v>149</v>
      </c>
      <c r="H32" s="32" t="s">
        <v>112</v>
      </c>
      <c r="I32" s="32" t="s">
        <v>149</v>
      </c>
      <c r="K32" s="99" t="s">
        <v>377</v>
      </c>
    </row>
    <row r="33" spans="2:15" x14ac:dyDescent="0.3">
      <c r="B33" s="27" t="s">
        <v>62</v>
      </c>
      <c r="C33" s="31"/>
      <c r="E33" s="78">
        <f>E17+E26+E31</f>
        <v>55246</v>
      </c>
      <c r="F33" s="78">
        <f>F17+F26+F31</f>
        <v>107314.28</v>
      </c>
      <c r="G33" s="78">
        <f>G17+G26+G31</f>
        <v>-105740.81000000003</v>
      </c>
      <c r="H33" s="78">
        <f>H17+H26+H31</f>
        <v>0</v>
      </c>
      <c r="I33" s="78">
        <f>I17+I26+I31</f>
        <v>56819.469999999972</v>
      </c>
      <c r="J33" s="101">
        <f>I33</f>
        <v>56819.469999999972</v>
      </c>
      <c r="K33" s="101">
        <f>Bank!S28</f>
        <v>56819.509999999995</v>
      </c>
    </row>
    <row r="34" spans="2:15" x14ac:dyDescent="0.3">
      <c r="B34" s="30"/>
      <c r="C34" s="34"/>
      <c r="E34" s="32" t="s">
        <v>147</v>
      </c>
      <c r="F34" s="32" t="s">
        <v>146</v>
      </c>
      <c r="G34" s="32" t="s">
        <v>146</v>
      </c>
      <c r="H34" s="32" t="s">
        <v>115</v>
      </c>
      <c r="I34" s="32" t="s">
        <v>147</v>
      </c>
    </row>
    <row r="36" spans="2:15" x14ac:dyDescent="0.3">
      <c r="B36" s="149" t="s">
        <v>243</v>
      </c>
      <c r="C36" s="149"/>
      <c r="D36" s="149"/>
      <c r="E36" s="149"/>
      <c r="F36" s="149"/>
      <c r="G36" s="149"/>
      <c r="H36" s="149"/>
      <c r="I36" s="149"/>
    </row>
    <row r="37" spans="2:15" ht="14.25" customHeight="1" x14ac:dyDescent="0.3">
      <c r="B37" s="42" t="s">
        <v>244</v>
      </c>
      <c r="C37" s="94"/>
      <c r="D37" s="94"/>
      <c r="E37" s="94"/>
      <c r="F37" s="94"/>
      <c r="G37" s="94"/>
      <c r="H37" s="94"/>
      <c r="I37" s="94"/>
    </row>
    <row r="38" spans="2:15" ht="15" customHeight="1" x14ac:dyDescent="0.3">
      <c r="B38" s="42" t="s">
        <v>245</v>
      </c>
      <c r="C38" s="94"/>
      <c r="D38" s="94"/>
      <c r="E38" s="94"/>
      <c r="F38" s="94"/>
      <c r="G38" s="94"/>
      <c r="H38" s="94"/>
      <c r="I38" s="94"/>
    </row>
    <row r="39" spans="2:15" ht="15" customHeight="1" x14ac:dyDescent="0.3">
      <c r="B39" s="149" t="s">
        <v>246</v>
      </c>
      <c r="C39" s="149"/>
      <c r="D39" s="149"/>
      <c r="E39" s="149"/>
      <c r="F39" s="149"/>
      <c r="G39" s="149"/>
      <c r="H39" s="149"/>
      <c r="I39" s="149"/>
    </row>
    <row r="40" spans="2:15" x14ac:dyDescent="0.3">
      <c r="B40" s="42" t="s">
        <v>247</v>
      </c>
      <c r="C40" s="81"/>
      <c r="D40" s="81"/>
      <c r="E40" s="81"/>
      <c r="F40" s="81"/>
      <c r="G40" s="81"/>
      <c r="H40" s="81"/>
      <c r="I40" s="81"/>
    </row>
    <row r="41" spans="2:15" x14ac:dyDescent="0.3">
      <c r="B41" s="42" t="s">
        <v>248</v>
      </c>
      <c r="C41" s="81"/>
      <c r="D41" s="81"/>
      <c r="E41" s="81"/>
      <c r="F41" s="81"/>
      <c r="G41" s="81"/>
      <c r="H41" s="81"/>
      <c r="I41" s="81"/>
    </row>
    <row r="42" spans="2:15" x14ac:dyDescent="0.3">
      <c r="B42" s="42" t="s">
        <v>249</v>
      </c>
      <c r="C42" s="81"/>
      <c r="D42" s="81"/>
      <c r="E42" s="81"/>
      <c r="F42" s="81"/>
      <c r="G42" s="81"/>
      <c r="H42" s="81"/>
      <c r="I42" s="81"/>
    </row>
    <row r="43" spans="2:15" x14ac:dyDescent="0.3">
      <c r="B43" s="42" t="s">
        <v>250</v>
      </c>
    </row>
    <row r="44" spans="2:15" x14ac:dyDescent="0.3">
      <c r="B44" s="42" t="s">
        <v>251</v>
      </c>
    </row>
    <row r="45" spans="2:15" x14ac:dyDescent="0.3">
      <c r="B45" s="94"/>
    </row>
    <row r="46" spans="2:15" ht="15" customHeight="1" x14ac:dyDescent="0.3">
      <c r="E46" s="17" t="s">
        <v>28</v>
      </c>
      <c r="F46" s="17" t="s">
        <v>29</v>
      </c>
      <c r="G46" s="17" t="s">
        <v>27</v>
      </c>
      <c r="H46" s="39"/>
      <c r="I46" s="39"/>
      <c r="K46" s="31" t="s">
        <v>303</v>
      </c>
      <c r="L46" s="31" t="s">
        <v>307</v>
      </c>
      <c r="M46" s="31" t="s">
        <v>309</v>
      </c>
      <c r="N46" s="31" t="s">
        <v>312</v>
      </c>
    </row>
    <row r="47" spans="2:15" ht="15" customHeight="1" x14ac:dyDescent="0.3">
      <c r="E47" s="17" t="s">
        <v>26</v>
      </c>
      <c r="F47" s="17" t="s">
        <v>26</v>
      </c>
      <c r="G47" s="17" t="s">
        <v>26</v>
      </c>
      <c r="H47" s="17" t="s">
        <v>25</v>
      </c>
      <c r="I47" s="17" t="s">
        <v>25</v>
      </c>
      <c r="J47" s="17" t="s">
        <v>389</v>
      </c>
      <c r="K47" s="26">
        <v>3359</v>
      </c>
      <c r="L47" s="26">
        <v>2740</v>
      </c>
      <c r="M47" s="26">
        <v>3332.25</v>
      </c>
      <c r="N47" s="26">
        <v>3236.5</v>
      </c>
      <c r="O47" s="52">
        <f>SUM(K47:N47)</f>
        <v>12667.75</v>
      </c>
    </row>
    <row r="48" spans="2:15" ht="15" customHeight="1" x14ac:dyDescent="0.3">
      <c r="E48" s="14">
        <f>'R&amp;P Account'!$D$8</f>
        <v>2025</v>
      </c>
      <c r="F48" s="14">
        <f>'R&amp;P Account'!$D$8</f>
        <v>2025</v>
      </c>
      <c r="G48" s="14">
        <f>'R&amp;P Account'!$D$8</f>
        <v>2025</v>
      </c>
      <c r="H48" s="14">
        <f>'R&amp;P Account'!$D$8</f>
        <v>2025</v>
      </c>
      <c r="I48" s="14">
        <f>'R&amp;P Account'!$D$8-1</f>
        <v>2024</v>
      </c>
    </row>
    <row r="49" spans="1:21" ht="15" customHeight="1" x14ac:dyDescent="0.3">
      <c r="E49" s="17" t="s">
        <v>103</v>
      </c>
      <c r="F49" s="17" t="s">
        <v>103</v>
      </c>
      <c r="G49" s="17" t="s">
        <v>103</v>
      </c>
      <c r="H49" s="17" t="s">
        <v>103</v>
      </c>
      <c r="I49" s="17" t="s">
        <v>103</v>
      </c>
      <c r="K49" s="31" t="s">
        <v>301</v>
      </c>
      <c r="L49" s="31" t="s">
        <v>342</v>
      </c>
      <c r="M49" s="31" t="s">
        <v>330</v>
      </c>
      <c r="N49" s="31" t="s">
        <v>233</v>
      </c>
      <c r="O49" s="31" t="s">
        <v>392</v>
      </c>
      <c r="P49" s="31" t="s">
        <v>25</v>
      </c>
    </row>
    <row r="50" spans="1:21" ht="15.6" x14ac:dyDescent="0.3">
      <c r="A50" s="74" t="s">
        <v>118</v>
      </c>
      <c r="B50" s="20" t="s">
        <v>63</v>
      </c>
      <c r="C50" s="11"/>
      <c r="E50" s="11"/>
      <c r="F50" s="11"/>
      <c r="G50" s="11"/>
      <c r="H50" s="11"/>
      <c r="I50" s="11"/>
    </row>
    <row r="51" spans="1:21" x14ac:dyDescent="0.3">
      <c r="A51" s="11"/>
      <c r="B51" s="81" t="s">
        <v>387</v>
      </c>
      <c r="C51" s="11"/>
      <c r="E51" s="26">
        <f>P51</f>
        <v>53256.979999999996</v>
      </c>
      <c r="F51" s="26">
        <v>0</v>
      </c>
      <c r="G51" s="26">
        <v>0</v>
      </c>
      <c r="H51" s="78">
        <f>SUM(E51:G51)</f>
        <v>53256.979999999996</v>
      </c>
      <c r="I51" s="26">
        <f>22350+27924+5360</f>
        <v>55634</v>
      </c>
      <c r="K51" s="101">
        <f>Bank!Q84+Bank!Q88-K52</f>
        <v>53256.979999999996</v>
      </c>
      <c r="L51" s="101"/>
      <c r="M51" s="101"/>
      <c r="N51" s="101"/>
      <c r="O51" s="101"/>
      <c r="P51" s="101">
        <f t="shared" ref="P51:P52" si="2">SUM(K51:O51)</f>
        <v>53256.979999999996</v>
      </c>
      <c r="T51">
        <v>23033</v>
      </c>
      <c r="U51">
        <v>23033</v>
      </c>
    </row>
    <row r="52" spans="1:21" x14ac:dyDescent="0.3">
      <c r="A52" s="11"/>
      <c r="B52" s="81" t="s">
        <v>120</v>
      </c>
      <c r="C52" s="11"/>
      <c r="E52" s="26">
        <f t="shared" ref="E52:E53" si="3">P52</f>
        <v>12667.75</v>
      </c>
      <c r="F52" s="26">
        <v>0</v>
      </c>
      <c r="G52" s="26">
        <v>0</v>
      </c>
      <c r="H52" s="78">
        <f>SUM(E52:G52)</f>
        <v>12667.75</v>
      </c>
      <c r="I52" s="26">
        <v>13293</v>
      </c>
      <c r="K52" s="101">
        <f>O47</f>
        <v>12667.75</v>
      </c>
      <c r="L52" s="101"/>
      <c r="M52" s="101"/>
      <c r="N52" s="101"/>
      <c r="O52" s="101"/>
      <c r="P52" s="101">
        <f t="shared" si="2"/>
        <v>12667.75</v>
      </c>
      <c r="T52">
        <v>12976</v>
      </c>
    </row>
    <row r="53" spans="1:21" x14ac:dyDescent="0.3">
      <c r="A53" s="11"/>
      <c r="B53" s="81" t="s">
        <v>121</v>
      </c>
      <c r="C53" s="11"/>
      <c r="E53" s="26">
        <f t="shared" si="3"/>
        <v>1420</v>
      </c>
      <c r="F53" s="26">
        <v>0</v>
      </c>
      <c r="G53" s="26">
        <v>0</v>
      </c>
      <c r="H53" s="78">
        <f>SUM(E53:G53)</f>
        <v>1420</v>
      </c>
      <c r="I53" s="26">
        <v>2508</v>
      </c>
      <c r="K53" s="101">
        <f>Bank!Q76+Bank!Q77-600</f>
        <v>1420</v>
      </c>
      <c r="L53" s="101"/>
      <c r="M53" s="101"/>
      <c r="N53" s="101"/>
      <c r="O53" s="96"/>
      <c r="P53" s="101">
        <f>SUM(K53:O53)</f>
        <v>1420</v>
      </c>
      <c r="R53" s="96"/>
      <c r="T53">
        <v>20039</v>
      </c>
    </row>
    <row r="54" spans="1:21" ht="9" customHeight="1" x14ac:dyDescent="0.3">
      <c r="B54" s="11"/>
      <c r="C54" s="11"/>
      <c r="E54" s="32" t="s">
        <v>123</v>
      </c>
      <c r="F54" s="32" t="s">
        <v>123</v>
      </c>
      <c r="G54" s="32" t="s">
        <v>123</v>
      </c>
      <c r="H54" s="32" t="s">
        <v>123</v>
      </c>
      <c r="I54" s="32" t="s">
        <v>123</v>
      </c>
      <c r="K54" s="101"/>
      <c r="L54" s="101"/>
      <c r="M54" s="101"/>
      <c r="N54" s="101"/>
      <c r="O54" s="101"/>
      <c r="P54" s="101"/>
    </row>
    <row r="55" spans="1:21" x14ac:dyDescent="0.3">
      <c r="A55" s="11"/>
      <c r="B55" s="11"/>
      <c r="C55" s="11"/>
      <c r="E55" s="78">
        <f>SUM(E51:E54)</f>
        <v>67344.73</v>
      </c>
      <c r="F55" s="78">
        <f>SUM(F51:F54)</f>
        <v>0</v>
      </c>
      <c r="G55" s="78">
        <f>SUM(G51:G54)</f>
        <v>0</v>
      </c>
      <c r="H55" s="78">
        <f>SUM(H51:H54)</f>
        <v>67344.73</v>
      </c>
      <c r="I55" s="78">
        <f>SUM(I51:I54)</f>
        <v>71435</v>
      </c>
      <c r="K55" s="101">
        <f t="shared" ref="K55:P55" si="4">SUM(K51:K53)</f>
        <v>67344.73</v>
      </c>
      <c r="L55" s="101">
        <f t="shared" si="4"/>
        <v>0</v>
      </c>
      <c r="M55" s="101">
        <f t="shared" si="4"/>
        <v>0</v>
      </c>
      <c r="N55" s="101">
        <f t="shared" si="4"/>
        <v>0</v>
      </c>
      <c r="O55" s="101">
        <f t="shared" si="4"/>
        <v>0</v>
      </c>
      <c r="P55" s="101">
        <f t="shared" si="4"/>
        <v>67344.73</v>
      </c>
      <c r="T55">
        <f>SUM(T51:T53)</f>
        <v>56048</v>
      </c>
      <c r="U55">
        <f>SUM(U51:U53)</f>
        <v>23033</v>
      </c>
    </row>
    <row r="56" spans="1:21" ht="10.5" customHeight="1" x14ac:dyDescent="0.3">
      <c r="A56" s="11"/>
      <c r="B56" s="11"/>
      <c r="C56" s="11"/>
      <c r="E56" s="32" t="s">
        <v>122</v>
      </c>
      <c r="F56" s="32" t="s">
        <v>122</v>
      </c>
      <c r="G56" s="32" t="s">
        <v>122</v>
      </c>
      <c r="H56" s="32" t="s">
        <v>122</v>
      </c>
      <c r="I56" s="32" t="s">
        <v>122</v>
      </c>
    </row>
    <row r="57" spans="1:21" x14ac:dyDescent="0.3">
      <c r="A57" s="11"/>
      <c r="B57" s="11"/>
      <c r="C57" s="11"/>
      <c r="E57" s="32"/>
      <c r="F57" s="32"/>
      <c r="G57" s="32"/>
      <c r="H57" s="32"/>
      <c r="I57" s="32"/>
    </row>
    <row r="58" spans="1:21" ht="15.6" x14ac:dyDescent="0.3">
      <c r="A58" s="73" t="s">
        <v>119</v>
      </c>
      <c r="B58" s="20" t="s">
        <v>64</v>
      </c>
      <c r="K58" s="31" t="s">
        <v>301</v>
      </c>
      <c r="L58" s="31" t="s">
        <v>342</v>
      </c>
      <c r="M58" s="31" t="s">
        <v>330</v>
      </c>
      <c r="N58" s="31" t="s">
        <v>233</v>
      </c>
      <c r="O58" s="31" t="s">
        <v>25</v>
      </c>
    </row>
    <row r="59" spans="1:21" x14ac:dyDescent="0.3">
      <c r="B59" s="12" t="s">
        <v>65</v>
      </c>
      <c r="C59" s="11"/>
      <c r="E59" s="11"/>
      <c r="F59" s="11"/>
      <c r="G59" s="11"/>
      <c r="H59" s="11"/>
      <c r="I59" s="11"/>
    </row>
    <row r="60" spans="1:21" x14ac:dyDescent="0.3">
      <c r="B60" t="s">
        <v>66</v>
      </c>
      <c r="E60" s="78">
        <f>O60</f>
        <v>150.21</v>
      </c>
      <c r="F60" s="78">
        <v>0</v>
      </c>
      <c r="G60" s="78">
        <v>0</v>
      </c>
      <c r="H60" s="78">
        <f>SUM(E60:G60)</f>
        <v>150.21</v>
      </c>
      <c r="I60" s="78">
        <v>155</v>
      </c>
      <c r="K60">
        <f>Bank!C57</f>
        <v>150.21</v>
      </c>
      <c r="O60" s="101">
        <f>SUM(K60:N60)</f>
        <v>150.21</v>
      </c>
    </row>
    <row r="61" spans="1:21" ht="9" customHeight="1" x14ac:dyDescent="0.3">
      <c r="B61" s="11"/>
      <c r="C61" s="11"/>
      <c r="E61" s="32" t="s">
        <v>123</v>
      </c>
      <c r="F61" s="32" t="s">
        <v>123</v>
      </c>
      <c r="G61" s="32" t="s">
        <v>123</v>
      </c>
      <c r="H61" s="32" t="s">
        <v>123</v>
      </c>
      <c r="I61" s="32" t="s">
        <v>123</v>
      </c>
      <c r="O61" s="101"/>
    </row>
    <row r="62" spans="1:21" x14ac:dyDescent="0.3">
      <c r="B62" s="12" t="s">
        <v>40</v>
      </c>
      <c r="C62" s="11"/>
      <c r="E62" s="11"/>
      <c r="F62" s="11"/>
      <c r="G62" s="11"/>
      <c r="H62" s="11"/>
      <c r="I62" s="11"/>
      <c r="O62" s="101"/>
    </row>
    <row r="63" spans="1:21" x14ac:dyDescent="0.3">
      <c r="B63" t="s">
        <v>220</v>
      </c>
      <c r="C63" s="11"/>
      <c r="E63" s="78">
        <f t="shared" ref="E63:E73" si="5">O63</f>
        <v>54770</v>
      </c>
      <c r="F63" s="26">
        <v>0</v>
      </c>
      <c r="G63" s="26">
        <v>0</v>
      </c>
      <c r="H63" s="78">
        <f t="shared" ref="H63:H77" si="6">SUM(E63:G63)</f>
        <v>54770</v>
      </c>
      <c r="I63" s="26">
        <v>36380</v>
      </c>
      <c r="K63" s="102">
        <f>Bank!C36</f>
        <v>54770</v>
      </c>
      <c r="O63" s="101">
        <f t="shared" ref="O63:O77" si="7">SUM(K63:N63)</f>
        <v>54770</v>
      </c>
    </row>
    <row r="64" spans="1:21" x14ac:dyDescent="0.3">
      <c r="B64" t="s">
        <v>67</v>
      </c>
      <c r="C64" s="11"/>
      <c r="E64" s="78">
        <f t="shared" si="5"/>
        <v>2925</v>
      </c>
      <c r="F64" s="26">
        <v>0</v>
      </c>
      <c r="G64" s="26">
        <v>0</v>
      </c>
      <c r="H64" s="78">
        <f t="shared" si="6"/>
        <v>2925</v>
      </c>
      <c r="I64" s="26">
        <v>4813</v>
      </c>
      <c r="K64" s="102">
        <f>Bank!C37</f>
        <v>2925</v>
      </c>
      <c r="O64" s="101">
        <f t="shared" si="7"/>
        <v>2925</v>
      </c>
    </row>
    <row r="65" spans="2:15" x14ac:dyDescent="0.3">
      <c r="B65" t="s">
        <v>221</v>
      </c>
      <c r="C65" s="11"/>
      <c r="E65" s="78">
        <f t="shared" si="5"/>
        <v>5598.88</v>
      </c>
      <c r="F65" s="26">
        <v>0</v>
      </c>
      <c r="G65" s="26">
        <v>0</v>
      </c>
      <c r="H65" s="78">
        <f t="shared" si="6"/>
        <v>5598.88</v>
      </c>
      <c r="I65" s="26">
        <v>14506</v>
      </c>
      <c r="K65" s="101">
        <f>Bank!C38+Bank!C42</f>
        <v>5598.88</v>
      </c>
      <c r="O65" s="101">
        <f t="shared" si="7"/>
        <v>5598.88</v>
      </c>
    </row>
    <row r="66" spans="2:15" x14ac:dyDescent="0.3">
      <c r="B66" t="s">
        <v>222</v>
      </c>
      <c r="C66" s="11"/>
      <c r="E66" s="78">
        <f t="shared" si="5"/>
        <v>1000</v>
      </c>
      <c r="F66" s="26">
        <v>0</v>
      </c>
      <c r="G66" s="26">
        <v>0</v>
      </c>
      <c r="H66" s="78">
        <f t="shared" si="6"/>
        <v>1000</v>
      </c>
      <c r="I66" s="26">
        <v>500</v>
      </c>
      <c r="K66" s="101">
        <f>Bank!C39</f>
        <v>1000</v>
      </c>
      <c r="O66" s="101">
        <f t="shared" si="7"/>
        <v>1000</v>
      </c>
    </row>
    <row r="67" spans="2:15" x14ac:dyDescent="0.3">
      <c r="B67" t="s">
        <v>223</v>
      </c>
      <c r="E67" s="78">
        <f t="shared" si="5"/>
        <v>713.76</v>
      </c>
      <c r="F67" s="26">
        <v>0</v>
      </c>
      <c r="G67" s="26">
        <v>0</v>
      </c>
      <c r="H67" s="78">
        <f t="shared" si="6"/>
        <v>713.76</v>
      </c>
      <c r="I67" s="26">
        <v>668</v>
      </c>
      <c r="K67" s="101">
        <f>Bank!C46</f>
        <v>713.76</v>
      </c>
      <c r="O67" s="101">
        <f t="shared" si="7"/>
        <v>713.76</v>
      </c>
    </row>
    <row r="68" spans="2:15" x14ac:dyDescent="0.3">
      <c r="B68" t="s">
        <v>224</v>
      </c>
      <c r="E68" s="78">
        <f t="shared" si="5"/>
        <v>584.29999999999995</v>
      </c>
      <c r="F68" s="26">
        <v>0</v>
      </c>
      <c r="G68" s="26">
        <v>0</v>
      </c>
      <c r="H68" s="78">
        <f t="shared" si="6"/>
        <v>584.29999999999995</v>
      </c>
      <c r="I68" s="26">
        <v>672</v>
      </c>
      <c r="K68" s="101">
        <f>Bank!C55</f>
        <v>584.29999999999995</v>
      </c>
      <c r="O68" s="101">
        <f t="shared" si="7"/>
        <v>584.29999999999995</v>
      </c>
    </row>
    <row r="69" spans="2:15" x14ac:dyDescent="0.3">
      <c r="B69" t="s">
        <v>225</v>
      </c>
      <c r="E69" s="78">
        <f t="shared" si="5"/>
        <v>7565.0599999999995</v>
      </c>
      <c r="F69" s="26">
        <v>0</v>
      </c>
      <c r="G69" s="26">
        <v>0</v>
      </c>
      <c r="H69" s="78">
        <f t="shared" si="6"/>
        <v>7565.0599999999995</v>
      </c>
      <c r="I69" s="26">
        <v>6442</v>
      </c>
      <c r="K69" s="101">
        <f>Bank!C44+Bank!C48</f>
        <v>7565.0599999999995</v>
      </c>
      <c r="O69" s="101">
        <f t="shared" si="7"/>
        <v>7565.0599999999995</v>
      </c>
    </row>
    <row r="70" spans="2:15" x14ac:dyDescent="0.3">
      <c r="B70" t="s">
        <v>68</v>
      </c>
      <c r="E70" s="78">
        <f t="shared" si="5"/>
        <v>4860.96</v>
      </c>
      <c r="F70" s="26">
        <v>0</v>
      </c>
      <c r="G70" s="26">
        <v>0</v>
      </c>
      <c r="H70" s="78">
        <f t="shared" si="6"/>
        <v>4860.96</v>
      </c>
      <c r="I70" s="26">
        <v>4366</v>
      </c>
      <c r="K70" s="101">
        <f>Bank!C47</f>
        <v>4860.96</v>
      </c>
      <c r="O70" s="101">
        <f t="shared" si="7"/>
        <v>4860.96</v>
      </c>
    </row>
    <row r="71" spans="2:15" x14ac:dyDescent="0.3">
      <c r="B71" t="s">
        <v>69</v>
      </c>
      <c r="E71" s="78">
        <f t="shared" si="5"/>
        <v>2030.96</v>
      </c>
      <c r="F71" s="26">
        <v>0</v>
      </c>
      <c r="G71" s="26">
        <v>0</v>
      </c>
      <c r="H71" s="78">
        <f t="shared" si="6"/>
        <v>2030.96</v>
      </c>
      <c r="I71" s="26">
        <v>1848</v>
      </c>
      <c r="K71" s="101">
        <f>Bank!C41+Bank!C60</f>
        <v>2030.96</v>
      </c>
      <c r="O71" s="101">
        <f t="shared" si="7"/>
        <v>2030.96</v>
      </c>
    </row>
    <row r="72" spans="2:15" x14ac:dyDescent="0.3">
      <c r="B72" t="s">
        <v>296</v>
      </c>
      <c r="C72" s="1"/>
      <c r="E72" s="78">
        <f t="shared" si="5"/>
        <v>183.6</v>
      </c>
      <c r="F72" s="26">
        <v>0</v>
      </c>
      <c r="G72" s="26">
        <v>0</v>
      </c>
      <c r="H72" s="78">
        <f t="shared" si="6"/>
        <v>183.6</v>
      </c>
      <c r="I72" s="26">
        <v>205</v>
      </c>
      <c r="K72" s="101">
        <f>Bank!C51</f>
        <v>183.6</v>
      </c>
      <c r="O72" s="101">
        <f t="shared" si="7"/>
        <v>183.6</v>
      </c>
    </row>
    <row r="73" spans="2:15" x14ac:dyDescent="0.3">
      <c r="B73" t="s">
        <v>213</v>
      </c>
      <c r="C73" s="1"/>
      <c r="E73" s="78">
        <f t="shared" si="5"/>
        <v>11165.05</v>
      </c>
      <c r="F73" s="26">
        <v>0</v>
      </c>
      <c r="G73" s="26">
        <v>0</v>
      </c>
      <c r="H73" s="78">
        <f t="shared" si="6"/>
        <v>11165.05</v>
      </c>
      <c r="I73" s="26">
        <v>10066</v>
      </c>
      <c r="K73" s="101">
        <f>Bank!C43+Bank!C50+Bank!C52+Bank!C58</f>
        <v>1631.63</v>
      </c>
      <c r="L73" s="101">
        <f>-Bank!M13-Bank!M12</f>
        <v>9533.42</v>
      </c>
      <c r="O73" s="101">
        <f t="shared" si="7"/>
        <v>11165.05</v>
      </c>
    </row>
    <row r="74" spans="2:15" x14ac:dyDescent="0.3">
      <c r="B74" t="s">
        <v>226</v>
      </c>
      <c r="C74" s="11"/>
      <c r="E74" s="26">
        <v>0</v>
      </c>
      <c r="F74" s="26">
        <v>0</v>
      </c>
      <c r="G74" s="26">
        <v>0</v>
      </c>
      <c r="H74" s="78">
        <f t="shared" si="6"/>
        <v>0</v>
      </c>
      <c r="I74" s="26">
        <v>750</v>
      </c>
      <c r="K74" s="101"/>
      <c r="O74" s="101">
        <f t="shared" si="7"/>
        <v>0</v>
      </c>
    </row>
    <row r="75" spans="2:15" x14ac:dyDescent="0.3">
      <c r="B75" t="s">
        <v>227</v>
      </c>
      <c r="C75" s="11"/>
      <c r="E75" s="26">
        <v>0</v>
      </c>
      <c r="F75" s="78">
        <f>O75</f>
        <v>2214.4</v>
      </c>
      <c r="G75" s="26">
        <v>0</v>
      </c>
      <c r="H75" s="78">
        <f t="shared" si="6"/>
        <v>2214.4</v>
      </c>
      <c r="I75" s="26">
        <v>3394</v>
      </c>
      <c r="K75" s="101"/>
      <c r="N75" s="101">
        <f>-Bank!R7-Bank!R5</f>
        <v>2214.4</v>
      </c>
      <c r="O75" s="101">
        <f t="shared" si="7"/>
        <v>2214.4</v>
      </c>
    </row>
    <row r="76" spans="2:15" x14ac:dyDescent="0.3">
      <c r="B76" t="s">
        <v>228</v>
      </c>
      <c r="C76" s="11"/>
      <c r="E76" s="26">
        <v>0</v>
      </c>
      <c r="F76" s="78">
        <f>O76</f>
        <v>907.66000000000008</v>
      </c>
      <c r="G76" s="26">
        <v>0</v>
      </c>
      <c r="H76" s="78">
        <f t="shared" si="6"/>
        <v>907.66000000000008</v>
      </c>
      <c r="I76" s="26">
        <v>786</v>
      </c>
      <c r="K76" s="102"/>
      <c r="M76">
        <f>-Bank!H11</f>
        <v>907.66000000000008</v>
      </c>
      <c r="O76" s="101">
        <f t="shared" si="7"/>
        <v>907.66000000000008</v>
      </c>
    </row>
    <row r="77" spans="2:15" x14ac:dyDescent="0.3">
      <c r="B77" t="s">
        <v>70</v>
      </c>
      <c r="C77" s="11"/>
      <c r="E77" s="78">
        <f t="shared" ref="E77" si="8">O77</f>
        <v>890.87000000000012</v>
      </c>
      <c r="F77" s="26">
        <v>0</v>
      </c>
      <c r="G77" s="26">
        <v>0</v>
      </c>
      <c r="H77" s="78">
        <f t="shared" si="6"/>
        <v>890.87000000000012</v>
      </c>
      <c r="I77" s="26">
        <v>4875</v>
      </c>
      <c r="K77" s="101">
        <f>Bank!C45+Bank!C53+Bank!C54+Bank!C56+Bank!C61</f>
        <v>890.87000000000012</v>
      </c>
      <c r="O77" s="101">
        <f t="shared" si="7"/>
        <v>890.87000000000012</v>
      </c>
    </row>
    <row r="78" spans="2:15" ht="9" customHeight="1" x14ac:dyDescent="0.3">
      <c r="B78" s="11"/>
      <c r="C78" s="11"/>
      <c r="E78" s="32" t="s">
        <v>124</v>
      </c>
      <c r="F78" s="32" t="s">
        <v>123</v>
      </c>
      <c r="G78" s="32" t="s">
        <v>123</v>
      </c>
      <c r="H78" s="32" t="s">
        <v>124</v>
      </c>
      <c r="I78" s="32" t="s">
        <v>124</v>
      </c>
      <c r="O78" s="101"/>
    </row>
    <row r="79" spans="2:15" x14ac:dyDescent="0.3">
      <c r="B79" s="1"/>
      <c r="C79" s="1"/>
      <c r="E79" s="78">
        <f>SUM(E63:E78)+0.1</f>
        <v>92288.540000000023</v>
      </c>
      <c r="F79" s="78">
        <f t="shared" ref="F79:I79" si="9">SUM(F63:F78)</f>
        <v>3122.0600000000004</v>
      </c>
      <c r="G79" s="78">
        <f t="shared" si="9"/>
        <v>0</v>
      </c>
      <c r="H79" s="78">
        <f t="shared" si="9"/>
        <v>95410.500000000015</v>
      </c>
      <c r="I79" s="78">
        <f t="shared" si="9"/>
        <v>90271</v>
      </c>
      <c r="K79" s="101">
        <f>SUM(K63:K78)</f>
        <v>82755.020000000019</v>
      </c>
      <c r="L79" s="101">
        <f t="shared" ref="L79:O79" si="10">SUM(L63:L78)</f>
        <v>9533.42</v>
      </c>
      <c r="M79" s="101">
        <f t="shared" si="10"/>
        <v>907.66000000000008</v>
      </c>
      <c r="N79" s="101">
        <f t="shared" si="10"/>
        <v>2214.4</v>
      </c>
      <c r="O79" s="101">
        <f t="shared" si="10"/>
        <v>95410.500000000015</v>
      </c>
    </row>
    <row r="80" spans="2:15" ht="9" customHeight="1" x14ac:dyDescent="0.3">
      <c r="B80" s="11"/>
      <c r="C80" s="11"/>
      <c r="E80" s="32" t="s">
        <v>124</v>
      </c>
      <c r="F80" s="32" t="s">
        <v>123</v>
      </c>
      <c r="G80" s="32" t="s">
        <v>123</v>
      </c>
      <c r="H80" s="32" t="s">
        <v>124</v>
      </c>
      <c r="I80" s="32" t="s">
        <v>124</v>
      </c>
      <c r="O80" s="101"/>
    </row>
    <row r="81" spans="1:15" x14ac:dyDescent="0.3">
      <c r="B81" s="12" t="s">
        <v>41</v>
      </c>
      <c r="C81" s="11"/>
      <c r="D81" s="11"/>
      <c r="E81" s="11"/>
      <c r="F81" s="11"/>
      <c r="G81" s="11"/>
      <c r="H81" s="11"/>
      <c r="I81" s="11"/>
      <c r="O81" s="101"/>
    </row>
    <row r="82" spans="1:15" x14ac:dyDescent="0.3">
      <c r="B82" t="s">
        <v>109</v>
      </c>
      <c r="C82" s="11"/>
      <c r="E82" s="26">
        <v>180</v>
      </c>
      <c r="F82" s="26">
        <v>0</v>
      </c>
      <c r="G82" s="26">
        <v>0</v>
      </c>
      <c r="H82" s="78">
        <f>SUM(E82:G82)</f>
        <v>180</v>
      </c>
      <c r="I82" s="26">
        <v>180</v>
      </c>
      <c r="K82" s="101">
        <f>Bank!C59</f>
        <v>180</v>
      </c>
      <c r="O82" s="101">
        <f>SUM(K82:N82)</f>
        <v>180</v>
      </c>
    </row>
    <row r="83" spans="1:15" ht="9" customHeight="1" x14ac:dyDescent="0.3">
      <c r="C83" s="11"/>
      <c r="E83" s="32" t="s">
        <v>123</v>
      </c>
      <c r="F83" s="32" t="s">
        <v>123</v>
      </c>
      <c r="G83" s="32" t="s">
        <v>123</v>
      </c>
      <c r="H83" s="32" t="s">
        <v>123</v>
      </c>
      <c r="I83" s="32" t="s">
        <v>123</v>
      </c>
      <c r="O83" s="101"/>
    </row>
    <row r="84" spans="1:15" x14ac:dyDescent="0.3">
      <c r="B84" s="12" t="s">
        <v>71</v>
      </c>
      <c r="C84" s="11"/>
      <c r="D84" s="11"/>
      <c r="E84" s="11"/>
      <c r="F84" s="11"/>
      <c r="G84" s="11"/>
      <c r="H84" s="11"/>
      <c r="I84" s="11"/>
      <c r="O84" s="101"/>
    </row>
    <row r="85" spans="1:15" x14ac:dyDescent="0.3">
      <c r="B85" t="s">
        <v>229</v>
      </c>
      <c r="C85" s="11"/>
      <c r="D85" s="11"/>
      <c r="E85" s="78">
        <v>10000</v>
      </c>
      <c r="F85" s="26">
        <v>0</v>
      </c>
      <c r="G85" s="26"/>
      <c r="H85" s="78">
        <f>SUM(E85:G85)</f>
        <v>10000</v>
      </c>
      <c r="I85" s="26">
        <v>25000</v>
      </c>
      <c r="K85" s="101">
        <f>Bank!C49</f>
        <v>10000</v>
      </c>
      <c r="O85" s="101">
        <f>SUM(K85:N85)</f>
        <v>10000</v>
      </c>
    </row>
    <row r="86" spans="1:15" x14ac:dyDescent="0.3">
      <c r="B86" t="s">
        <v>110</v>
      </c>
      <c r="C86" s="11"/>
      <c r="E86" s="78">
        <v>0</v>
      </c>
      <c r="F86" s="78">
        <v>0</v>
      </c>
      <c r="G86" s="78">
        <v>0</v>
      </c>
      <c r="H86" s="78">
        <f>SUM(E86:G86)</f>
        <v>0</v>
      </c>
      <c r="I86" s="78">
        <v>0</v>
      </c>
      <c r="O86" s="101"/>
    </row>
    <row r="87" spans="1:15" ht="9" customHeight="1" x14ac:dyDescent="0.3">
      <c r="B87" s="11"/>
      <c r="C87" s="11"/>
      <c r="E87" s="32" t="s">
        <v>124</v>
      </c>
      <c r="F87" s="32" t="s">
        <v>123</v>
      </c>
      <c r="G87" s="32" t="s">
        <v>123</v>
      </c>
      <c r="H87" s="32" t="s">
        <v>124</v>
      </c>
      <c r="I87" s="32" t="s">
        <v>124</v>
      </c>
      <c r="O87" s="101"/>
    </row>
    <row r="88" spans="1:15" x14ac:dyDescent="0.3">
      <c r="B88" s="11"/>
      <c r="C88" s="11"/>
      <c r="E88" s="78">
        <f>SUM(E85:E87)</f>
        <v>10000</v>
      </c>
      <c r="F88" s="78">
        <f>SUM(F85:F87)</f>
        <v>0</v>
      </c>
      <c r="G88" s="78">
        <f>SUM(G85:G87)</f>
        <v>0</v>
      </c>
      <c r="H88" s="78">
        <f>SUM(H85:H87)</f>
        <v>10000</v>
      </c>
      <c r="I88" s="78">
        <f>SUM(I85:I87)</f>
        <v>25000</v>
      </c>
      <c r="K88" s="101">
        <f>SUM(K85:K87)</f>
        <v>10000</v>
      </c>
      <c r="L88" s="101">
        <f t="shared" ref="L88:O88" si="11">SUM(L85:L87)</f>
        <v>0</v>
      </c>
      <c r="M88" s="101">
        <f t="shared" si="11"/>
        <v>0</v>
      </c>
      <c r="N88" s="101">
        <f t="shared" si="11"/>
        <v>0</v>
      </c>
      <c r="O88" s="101">
        <f t="shared" si="11"/>
        <v>10000</v>
      </c>
    </row>
    <row r="89" spans="1:15" x14ac:dyDescent="0.3">
      <c r="B89" s="11"/>
      <c r="C89" s="11"/>
      <c r="D89" s="11"/>
      <c r="E89" s="32" t="s">
        <v>124</v>
      </c>
      <c r="F89" s="32" t="s">
        <v>123</v>
      </c>
      <c r="G89" s="32" t="s">
        <v>123</v>
      </c>
      <c r="H89" s="32" t="s">
        <v>124</v>
      </c>
      <c r="I89" s="32" t="s">
        <v>124</v>
      </c>
      <c r="O89" s="101"/>
    </row>
    <row r="90" spans="1:15" x14ac:dyDescent="0.3">
      <c r="B90" t="s">
        <v>25</v>
      </c>
      <c r="C90" s="11"/>
      <c r="E90" s="78">
        <f>E60+E79+E82+E88</f>
        <v>102618.75000000003</v>
      </c>
      <c r="F90" s="78">
        <f>F60+F79+F82+F88</f>
        <v>3122.0600000000004</v>
      </c>
      <c r="G90" s="78">
        <f>G60+G79+G82+G88</f>
        <v>0</v>
      </c>
      <c r="H90" s="78">
        <f>H60+H79+H82+H88</f>
        <v>105740.71000000002</v>
      </c>
      <c r="I90" s="78">
        <f>I60+I79+I82+I88</f>
        <v>115606</v>
      </c>
      <c r="K90" s="78">
        <f>K60+K79+K82+K88</f>
        <v>93085.230000000025</v>
      </c>
      <c r="L90" s="78">
        <f t="shared" ref="L90:O90" si="12">L60+L79+L82+L88</f>
        <v>9533.42</v>
      </c>
      <c r="M90" s="78">
        <f t="shared" si="12"/>
        <v>907.66000000000008</v>
      </c>
      <c r="N90" s="78">
        <f t="shared" si="12"/>
        <v>2214.4</v>
      </c>
      <c r="O90" s="78">
        <f t="shared" si="12"/>
        <v>105740.71000000002</v>
      </c>
    </row>
    <row r="91" spans="1:15" ht="10.5" customHeight="1" x14ac:dyDescent="0.3">
      <c r="A91" s="11"/>
      <c r="B91" s="11"/>
      <c r="C91" s="11"/>
      <c r="E91" s="32" t="s">
        <v>127</v>
      </c>
      <c r="F91" s="32" t="s">
        <v>122</v>
      </c>
      <c r="G91" s="32" t="s">
        <v>122</v>
      </c>
      <c r="H91" s="32" t="s">
        <v>127</v>
      </c>
      <c r="I91" s="32" t="s">
        <v>127</v>
      </c>
    </row>
    <row r="92" spans="1:15" ht="15.6" x14ac:dyDescent="0.3">
      <c r="A92" s="74" t="s">
        <v>105</v>
      </c>
      <c r="B92" s="20" t="s">
        <v>72</v>
      </c>
      <c r="C92" s="11"/>
      <c r="D92" s="11"/>
      <c r="E92" s="11"/>
      <c r="F92" s="11"/>
      <c r="G92" s="11"/>
      <c r="H92" s="11"/>
    </row>
    <row r="93" spans="1:15" ht="23.25" customHeight="1" x14ac:dyDescent="0.3">
      <c r="B93" s="147" t="s">
        <v>300</v>
      </c>
      <c r="C93" s="147"/>
      <c r="D93" s="147"/>
      <c r="E93" s="147"/>
      <c r="F93" s="147"/>
      <c r="G93" s="147"/>
      <c r="H93" s="147"/>
      <c r="I93" s="147"/>
      <c r="M93" t="s">
        <v>169</v>
      </c>
    </row>
    <row r="94" spans="1:15" ht="33.75" customHeight="1" x14ac:dyDescent="0.3">
      <c r="B94" s="127" t="s">
        <v>104</v>
      </c>
      <c r="C94" s="127"/>
      <c r="D94" s="127"/>
      <c r="E94" s="127"/>
      <c r="F94" s="127"/>
      <c r="G94" s="127"/>
      <c r="H94" s="127"/>
      <c r="I94" s="127"/>
    </row>
    <row r="95" spans="1:15" x14ac:dyDescent="0.3">
      <c r="B95" s="1"/>
      <c r="C95" s="1"/>
      <c r="D95" s="1"/>
      <c r="E95" s="1"/>
      <c r="F95" s="1"/>
      <c r="G95" s="1"/>
      <c r="H95" s="1"/>
    </row>
    <row r="96" spans="1:15" ht="15.6" x14ac:dyDescent="0.3">
      <c r="A96" s="74" t="s">
        <v>106</v>
      </c>
      <c r="B96" s="20" t="s">
        <v>73</v>
      </c>
      <c r="C96" s="11"/>
      <c r="D96" s="11"/>
      <c r="E96" s="11"/>
      <c r="F96" s="11"/>
      <c r="G96" s="11"/>
      <c r="H96" s="11"/>
    </row>
    <row r="97" spans="1:22" ht="76.5" customHeight="1" x14ac:dyDescent="0.3">
      <c r="A97" s="11"/>
      <c r="B97" s="127" t="s">
        <v>299</v>
      </c>
      <c r="C97" s="148"/>
      <c r="D97" s="148"/>
      <c r="E97" s="148"/>
      <c r="F97" s="148"/>
      <c r="G97" s="148"/>
      <c r="H97" s="148"/>
      <c r="I97" s="148"/>
      <c r="M97" t="s">
        <v>215</v>
      </c>
    </row>
    <row r="98" spans="1:22" ht="15.75" customHeight="1" x14ac:dyDescent="0.3">
      <c r="A98" s="11"/>
      <c r="B98" s="49"/>
      <c r="C98" s="49"/>
      <c r="D98" s="49"/>
      <c r="E98" s="49"/>
      <c r="F98" s="49"/>
      <c r="G98" s="49"/>
      <c r="H98" s="49"/>
      <c r="I98" s="49"/>
    </row>
    <row r="99" spans="1:22" ht="15.6" x14ac:dyDescent="0.3">
      <c r="A99" s="74" t="s">
        <v>107</v>
      </c>
      <c r="B99" s="20" t="s">
        <v>74</v>
      </c>
      <c r="C99" s="1"/>
      <c r="D99" s="1"/>
      <c r="E99" s="1"/>
      <c r="F99" s="1"/>
      <c r="G99" s="1"/>
      <c r="H99" s="1"/>
    </row>
    <row r="100" spans="1:22" x14ac:dyDescent="0.3">
      <c r="C100" s="11"/>
      <c r="E100" s="17" t="s">
        <v>75</v>
      </c>
      <c r="F100" s="39"/>
      <c r="G100" s="39"/>
      <c r="H100" s="17" t="s">
        <v>81</v>
      </c>
      <c r="I100" s="17" t="s">
        <v>75</v>
      </c>
    </row>
    <row r="101" spans="1:22" x14ac:dyDescent="0.3">
      <c r="B101" s="11"/>
      <c r="C101" s="11"/>
      <c r="E101" s="17" t="s">
        <v>76</v>
      </c>
      <c r="F101" s="39"/>
      <c r="G101" s="39"/>
      <c r="H101" s="17" t="s">
        <v>80</v>
      </c>
      <c r="I101" s="17" t="s">
        <v>76</v>
      </c>
    </row>
    <row r="102" spans="1:22" x14ac:dyDescent="0.3">
      <c r="E102" s="17" t="s">
        <v>77</v>
      </c>
      <c r="F102" s="17" t="s">
        <v>78</v>
      </c>
      <c r="G102" s="17" t="s">
        <v>79</v>
      </c>
      <c r="H102" s="17" t="s">
        <v>82</v>
      </c>
      <c r="I102" s="17" t="s">
        <v>83</v>
      </c>
    </row>
    <row r="103" spans="1:22" x14ac:dyDescent="0.3">
      <c r="E103" s="14">
        <f>'R&amp;P Account'!$D$8</f>
        <v>2025</v>
      </c>
      <c r="F103" s="39"/>
      <c r="G103" s="39"/>
      <c r="I103" s="14">
        <f>'R&amp;P Account'!$D$8</f>
        <v>2025</v>
      </c>
    </row>
    <row r="104" spans="1:22" x14ac:dyDescent="0.3">
      <c r="E104" s="17" t="s">
        <v>103</v>
      </c>
      <c r="F104" s="17" t="s">
        <v>103</v>
      </c>
      <c r="G104" s="17" t="s">
        <v>103</v>
      </c>
      <c r="H104" s="17" t="s">
        <v>103</v>
      </c>
      <c r="I104" s="17" t="s">
        <v>103</v>
      </c>
    </row>
    <row r="105" spans="1:22" x14ac:dyDescent="0.3">
      <c r="A105" s="11"/>
      <c r="B105" s="81" t="s">
        <v>235</v>
      </c>
      <c r="C105" s="11"/>
      <c r="E105" s="78">
        <f>E123</f>
        <v>199353.98489051097</v>
      </c>
      <c r="F105" s="78">
        <f>F123</f>
        <v>10000</v>
      </c>
      <c r="G105" s="78">
        <v>0</v>
      </c>
      <c r="H105" s="26">
        <f>H123</f>
        <v>6145.1151094890638</v>
      </c>
      <c r="I105" s="78">
        <f>SUM(E105:H105)</f>
        <v>215499.10000000003</v>
      </c>
    </row>
    <row r="106" spans="1:22" ht="10.5" customHeight="1" x14ac:dyDescent="0.3">
      <c r="A106" s="11"/>
      <c r="B106" s="11"/>
      <c r="C106" s="11"/>
      <c r="E106" s="32" t="s">
        <v>127</v>
      </c>
      <c r="F106" s="32" t="s">
        <v>122</v>
      </c>
      <c r="G106" s="32" t="s">
        <v>122</v>
      </c>
      <c r="H106" s="32" t="s">
        <v>122</v>
      </c>
      <c r="I106" s="32" t="s">
        <v>127</v>
      </c>
    </row>
    <row r="107" spans="1:22" x14ac:dyDescent="0.3">
      <c r="A107" s="11"/>
      <c r="B107" s="14" t="s">
        <v>143</v>
      </c>
      <c r="C107" s="11"/>
      <c r="E107" s="26"/>
      <c r="F107" s="26"/>
      <c r="G107" s="26"/>
      <c r="H107" s="26"/>
      <c r="I107" s="26"/>
      <c r="N107" t="s">
        <v>320</v>
      </c>
      <c r="R107" t="s">
        <v>322</v>
      </c>
      <c r="U107" t="s">
        <v>319</v>
      </c>
      <c r="V107" t="s">
        <v>319</v>
      </c>
    </row>
    <row r="108" spans="1:22" x14ac:dyDescent="0.3">
      <c r="A108" s="11"/>
      <c r="B108" s="12" t="s">
        <v>145</v>
      </c>
      <c r="C108" s="11"/>
      <c r="E108" s="26"/>
      <c r="F108" s="26"/>
      <c r="G108" s="26"/>
      <c r="H108" s="26"/>
      <c r="I108" s="26"/>
      <c r="M108" t="s">
        <v>328</v>
      </c>
      <c r="N108" t="s">
        <v>321</v>
      </c>
      <c r="O108" t="s">
        <v>327</v>
      </c>
      <c r="R108" t="s">
        <v>323</v>
      </c>
      <c r="S108" s="39" t="s">
        <v>324</v>
      </c>
      <c r="U108" t="s">
        <v>325</v>
      </c>
      <c r="V108" t="s">
        <v>326</v>
      </c>
    </row>
    <row r="109" spans="1:22" ht="15" customHeight="1" x14ac:dyDescent="0.3">
      <c r="A109" s="11"/>
      <c r="B109" t="s">
        <v>236</v>
      </c>
      <c r="C109" s="11"/>
      <c r="E109" s="26">
        <v>9743.09</v>
      </c>
      <c r="F109" s="26">
        <v>0</v>
      </c>
      <c r="G109" s="26">
        <v>0</v>
      </c>
      <c r="H109" s="26">
        <f>M109-E109</f>
        <v>291.5</v>
      </c>
      <c r="I109" s="26">
        <f>M109</f>
        <v>10034.59</v>
      </c>
      <c r="K109" s="96">
        <f>E109/11.06</f>
        <v>880.93037974683546</v>
      </c>
      <c r="L109" s="103">
        <v>881</v>
      </c>
      <c r="M109">
        <f>L109*11.39</f>
        <v>10034.59</v>
      </c>
      <c r="N109" s="101">
        <f>L109*0.6</f>
        <v>528.6</v>
      </c>
      <c r="O109" s="96">
        <f t="shared" ref="O109:O111" si="13">L109*11.06</f>
        <v>9743.86</v>
      </c>
    </row>
    <row r="110" spans="1:22" ht="15" customHeight="1" x14ac:dyDescent="0.3">
      <c r="A110" s="11"/>
      <c r="B110" t="s">
        <v>237</v>
      </c>
      <c r="C110" s="11"/>
      <c r="E110" s="26">
        <v>4877.1000000000004</v>
      </c>
      <c r="F110" s="26">
        <v>0</v>
      </c>
      <c r="G110" s="26">
        <v>0</v>
      </c>
      <c r="H110" s="26">
        <f t="shared" ref="H110:H111" si="14">M110-E110</f>
        <v>145.89000000000033</v>
      </c>
      <c r="I110" s="26">
        <f t="shared" ref="I110:I111" si="15">M110</f>
        <v>5022.9900000000007</v>
      </c>
      <c r="K110" s="96">
        <f t="shared" ref="K110:K111" si="16">E110/11.06</f>
        <v>440.96745027124774</v>
      </c>
      <c r="L110" s="103">
        <v>441</v>
      </c>
      <c r="M110">
        <f t="shared" ref="M110:M111" si="17">L110*11.39</f>
        <v>5022.9900000000007</v>
      </c>
      <c r="N110" s="101">
        <f>L110*0.6</f>
        <v>264.59999999999997</v>
      </c>
      <c r="O110" s="96">
        <f t="shared" si="13"/>
        <v>4877.46</v>
      </c>
    </row>
    <row r="111" spans="1:22" ht="15" customHeight="1" x14ac:dyDescent="0.3">
      <c r="A111" s="11"/>
      <c r="B111" t="s">
        <v>238</v>
      </c>
      <c r="C111" s="11"/>
      <c r="E111" s="26">
        <v>575</v>
      </c>
      <c r="F111" s="26">
        <v>0</v>
      </c>
      <c r="G111" s="26">
        <v>0</v>
      </c>
      <c r="H111" s="26">
        <f t="shared" si="14"/>
        <v>17.279999999999973</v>
      </c>
      <c r="I111" s="26">
        <f t="shared" si="15"/>
        <v>592.28</v>
      </c>
      <c r="K111" s="96">
        <f t="shared" si="16"/>
        <v>51.989150090415912</v>
      </c>
      <c r="L111" s="103">
        <v>52</v>
      </c>
      <c r="M111">
        <f t="shared" si="17"/>
        <v>592.28</v>
      </c>
      <c r="N111" s="101"/>
      <c r="O111" s="96">
        <f t="shared" si="13"/>
        <v>575.12</v>
      </c>
      <c r="R111" s="101">
        <f>L111*0.6</f>
        <v>31.2</v>
      </c>
      <c r="S111" s="101">
        <f>3.1+3.23</f>
        <v>6.33</v>
      </c>
      <c r="T111" s="101">
        <f>SUM(R111:S111)</f>
        <v>37.53</v>
      </c>
      <c r="U111" s="101">
        <v>133.52000000000001</v>
      </c>
      <c r="V111" s="101">
        <f>SUM(T111:U111)</f>
        <v>171.05</v>
      </c>
    </row>
    <row r="112" spans="1:22" ht="9.75" customHeight="1" x14ac:dyDescent="0.3">
      <c r="B112" s="11"/>
      <c r="C112" s="11"/>
      <c r="E112" s="32" t="s">
        <v>124</v>
      </c>
      <c r="F112" s="32" t="s">
        <v>123</v>
      </c>
      <c r="G112" s="32" t="s">
        <v>123</v>
      </c>
      <c r="H112" s="92" t="s">
        <v>124</v>
      </c>
      <c r="I112" s="92" t="s">
        <v>124</v>
      </c>
      <c r="N112" s="101"/>
    </row>
    <row r="113" spans="1:22" ht="15" customHeight="1" x14ac:dyDescent="0.3">
      <c r="A113" s="11"/>
      <c r="C113" s="11"/>
      <c r="E113" s="26">
        <f>SUM(E109:E112)</f>
        <v>15195.19</v>
      </c>
      <c r="F113" s="26">
        <f>SUM(F109:F112)</f>
        <v>0</v>
      </c>
      <c r="G113" s="26">
        <f>SUM(G109:G112)</f>
        <v>0</v>
      </c>
      <c r="H113" s="26">
        <f>SUM(H109:H112)</f>
        <v>454.6700000000003</v>
      </c>
      <c r="I113" s="26">
        <f>SUM(I109:I112)</f>
        <v>15649.860000000002</v>
      </c>
      <c r="M113">
        <f>SUM(M109:M112)</f>
        <v>15649.860000000002</v>
      </c>
      <c r="N113" s="101">
        <f>SUM(N109:N112)</f>
        <v>793.2</v>
      </c>
      <c r="R113" s="96">
        <f>R111*4</f>
        <v>124.8</v>
      </c>
      <c r="S113" s="96">
        <f>U111-R113</f>
        <v>8.7200000000000131</v>
      </c>
    </row>
    <row r="114" spans="1:22" ht="9.75" customHeight="1" x14ac:dyDescent="0.3">
      <c r="B114" s="11"/>
      <c r="C114" s="11"/>
      <c r="E114" s="32" t="s">
        <v>124</v>
      </c>
      <c r="F114" s="32" t="s">
        <v>123</v>
      </c>
      <c r="G114" s="32" t="s">
        <v>123</v>
      </c>
      <c r="H114" s="32" t="s">
        <v>124</v>
      </c>
      <c r="I114" s="32" t="s">
        <v>124</v>
      </c>
      <c r="N114" s="101">
        <f>K114*11.06</f>
        <v>0</v>
      </c>
    </row>
    <row r="115" spans="1:22" x14ac:dyDescent="0.3">
      <c r="A115" s="11"/>
      <c r="B115" s="12" t="s">
        <v>144</v>
      </c>
      <c r="C115" s="11"/>
      <c r="E115" s="26"/>
      <c r="F115" s="26"/>
      <c r="G115" s="26"/>
      <c r="H115" s="26"/>
      <c r="I115" s="26"/>
      <c r="K115" s="26"/>
      <c r="L115" s="26"/>
      <c r="M115" s="26"/>
      <c r="N115" s="101"/>
    </row>
    <row r="116" spans="1:22" x14ac:dyDescent="0.3">
      <c r="A116" s="11"/>
      <c r="B116" t="s">
        <v>239</v>
      </c>
      <c r="C116" s="11"/>
      <c r="E116" s="26">
        <v>12452.7</v>
      </c>
      <c r="F116" s="26">
        <v>0</v>
      </c>
      <c r="G116" s="26">
        <v>0</v>
      </c>
      <c r="H116" s="26">
        <f t="shared" ref="H116:H117" si="18">M116-E116</f>
        <v>372.44000000000051</v>
      </c>
      <c r="I116" s="26">
        <f>M116</f>
        <v>12825.140000000001</v>
      </c>
      <c r="K116" s="96">
        <f>E116/11.06</f>
        <v>1125.9222423146473</v>
      </c>
      <c r="L116" s="100">
        <v>1126</v>
      </c>
      <c r="M116">
        <f>L116*11.39</f>
        <v>12825.140000000001</v>
      </c>
      <c r="N116" s="101">
        <f>L116*0.6</f>
        <v>675.6</v>
      </c>
      <c r="O116" s="96">
        <f>L116*11.06</f>
        <v>12453.560000000001</v>
      </c>
    </row>
    <row r="117" spans="1:22" x14ac:dyDescent="0.3">
      <c r="A117" s="11"/>
      <c r="B117" t="s">
        <v>240</v>
      </c>
      <c r="C117" s="11"/>
      <c r="E117" s="26">
        <v>92538.697080291982</v>
      </c>
      <c r="F117" s="26">
        <v>0</v>
      </c>
      <c r="G117" s="26">
        <v>0</v>
      </c>
      <c r="H117" s="26">
        <f t="shared" si="18"/>
        <v>2761.4329197080224</v>
      </c>
      <c r="I117" s="26">
        <f>M117</f>
        <v>95300.13</v>
      </c>
      <c r="K117" s="96">
        <f t="shared" ref="K117:K118" si="19">E117/11.06</f>
        <v>8366.9708029197081</v>
      </c>
      <c r="L117" s="100">
        <v>8367</v>
      </c>
      <c r="M117">
        <f t="shared" ref="M117:M119" si="20">L117*11.39</f>
        <v>95300.13</v>
      </c>
      <c r="N117" s="101">
        <f>L117*0.6</f>
        <v>5020.2</v>
      </c>
      <c r="O117" s="96">
        <f t="shared" ref="O117:O118" si="21">L117*11.06</f>
        <v>92539.02</v>
      </c>
    </row>
    <row r="118" spans="1:22" ht="15.75" customHeight="1" x14ac:dyDescent="0.3">
      <c r="B118" t="s">
        <v>241</v>
      </c>
      <c r="C118" s="11"/>
      <c r="E118" s="26">
        <v>79167.397810218972</v>
      </c>
      <c r="F118" s="26">
        <v>10000</v>
      </c>
      <c r="G118" s="26">
        <v>0</v>
      </c>
      <c r="H118" s="26">
        <f>M118+M119-E118-F118+0.3</f>
        <v>2556.5721897810408</v>
      </c>
      <c r="I118" s="26">
        <f>M118+M119</f>
        <v>91723.670000000013</v>
      </c>
      <c r="K118" s="96">
        <f t="shared" si="19"/>
        <v>7157.9925687358918</v>
      </c>
      <c r="L118" s="26">
        <v>7158</v>
      </c>
      <c r="M118">
        <f t="shared" si="20"/>
        <v>81529.62000000001</v>
      </c>
      <c r="N118" s="101">
        <f>Q120*0.6</f>
        <v>2936.4</v>
      </c>
      <c r="O118" s="96">
        <f t="shared" si="21"/>
        <v>79167.48000000001</v>
      </c>
    </row>
    <row r="119" spans="1:22" ht="9" customHeight="1" x14ac:dyDescent="0.3">
      <c r="B119" s="11"/>
      <c r="C119" s="11"/>
      <c r="E119" s="32" t="s">
        <v>124</v>
      </c>
      <c r="F119" s="32" t="s">
        <v>123</v>
      </c>
      <c r="G119" s="32" t="s">
        <v>123</v>
      </c>
      <c r="H119" s="32" t="s">
        <v>124</v>
      </c>
      <c r="I119" s="32" t="s">
        <v>124</v>
      </c>
      <c r="J119" s="99" t="s">
        <v>298</v>
      </c>
      <c r="K119" s="96">
        <f>F118/11.17</f>
        <v>895.25514771709936</v>
      </c>
      <c r="L119" s="26">
        <v>895</v>
      </c>
      <c r="M119">
        <f t="shared" si="20"/>
        <v>10194.050000000001</v>
      </c>
      <c r="N119" s="101"/>
    </row>
    <row r="120" spans="1:22" ht="15" customHeight="1" x14ac:dyDescent="0.3">
      <c r="B120" s="11"/>
      <c r="C120" s="11"/>
      <c r="E120" s="26">
        <f>SUM(E116:E119)</f>
        <v>184158.79489051097</v>
      </c>
      <c r="F120" s="26">
        <f t="shared" ref="F120:I120" si="22">SUM(F116:F119)</f>
        <v>10000</v>
      </c>
      <c r="G120" s="26">
        <f t="shared" si="22"/>
        <v>0</v>
      </c>
      <c r="H120" s="26">
        <f t="shared" si="22"/>
        <v>5690.4451094890637</v>
      </c>
      <c r="I120" s="26">
        <f t="shared" si="22"/>
        <v>199848.94</v>
      </c>
      <c r="L120" s="52"/>
      <c r="M120">
        <f>SUM(M116:M119)</f>
        <v>199848.94</v>
      </c>
      <c r="N120" s="101">
        <f>SUM(N116:N119)</f>
        <v>8632.2000000000007</v>
      </c>
      <c r="P120" t="s">
        <v>317</v>
      </c>
      <c r="Q120">
        <v>4894</v>
      </c>
    </row>
    <row r="121" spans="1:22" ht="9" customHeight="1" x14ac:dyDescent="0.3">
      <c r="B121" s="11"/>
      <c r="C121" s="11"/>
      <c r="E121" s="32"/>
      <c r="F121" s="32"/>
      <c r="G121" s="32"/>
      <c r="H121" s="32"/>
      <c r="I121" s="32"/>
      <c r="P121" t="s">
        <v>318</v>
      </c>
      <c r="Q121">
        <v>3159</v>
      </c>
      <c r="R121" s="101">
        <f>Q121*0.6</f>
        <v>1895.3999999999999</v>
      </c>
      <c r="S121">
        <v>2.85</v>
      </c>
      <c r="T121" s="101">
        <f>SUM(R121:S121)</f>
        <v>1898.2499999999998</v>
      </c>
      <c r="U121">
        <v>0</v>
      </c>
      <c r="V121" s="101">
        <f>SUM(T121:U121)</f>
        <v>1898.2499999999998</v>
      </c>
    </row>
    <row r="122" spans="1:22" ht="9" customHeight="1" x14ac:dyDescent="0.3">
      <c r="B122" s="11"/>
      <c r="C122" s="11"/>
      <c r="E122" s="32" t="s">
        <v>124</v>
      </c>
      <c r="F122" s="32" t="s">
        <v>123</v>
      </c>
      <c r="G122" s="32" t="s">
        <v>123</v>
      </c>
      <c r="H122" s="32" t="s">
        <v>124</v>
      </c>
      <c r="I122" s="32" t="s">
        <v>124</v>
      </c>
      <c r="Q122">
        <f>SUM(Q120:Q121)</f>
        <v>8053</v>
      </c>
    </row>
    <row r="123" spans="1:22" ht="15.75" customHeight="1" x14ac:dyDescent="0.3">
      <c r="B123" s="11"/>
      <c r="C123" s="11"/>
      <c r="E123" s="78">
        <f>E113+E120</f>
        <v>199353.98489051097</v>
      </c>
      <c r="F123" s="78">
        <f t="shared" ref="F123:I123" si="23">F113+F120</f>
        <v>10000</v>
      </c>
      <c r="G123" s="78">
        <f t="shared" si="23"/>
        <v>0</v>
      </c>
      <c r="H123" s="78">
        <f t="shared" si="23"/>
        <v>6145.1151094890638</v>
      </c>
      <c r="I123" s="78">
        <f t="shared" si="23"/>
        <v>215498.80000000002</v>
      </c>
      <c r="L123" s="52"/>
      <c r="M123" s="96">
        <f>M113+M120</f>
        <v>215498.80000000002</v>
      </c>
      <c r="N123" s="101">
        <f>N113+N120</f>
        <v>9425.4000000000015</v>
      </c>
      <c r="R123" s="96">
        <f>SUM(R111:R122)</f>
        <v>2051.3999999999996</v>
      </c>
      <c r="S123" s="96">
        <f>SUM(S111:S122)</f>
        <v>17.900000000000013</v>
      </c>
      <c r="V123" s="96">
        <f>SUM(V111:V122)</f>
        <v>2069.2999999999997</v>
      </c>
    </row>
    <row r="124" spans="1:22" ht="10.5" customHeight="1" x14ac:dyDescent="0.3">
      <c r="A124" s="11"/>
      <c r="B124" s="11"/>
      <c r="C124" s="11"/>
      <c r="E124" s="32" t="s">
        <v>127</v>
      </c>
      <c r="F124" s="32" t="s">
        <v>122</v>
      </c>
      <c r="G124" s="32" t="s">
        <v>122</v>
      </c>
      <c r="H124" s="32" t="s">
        <v>122</v>
      </c>
      <c r="I124" s="32" t="s">
        <v>127</v>
      </c>
    </row>
    <row r="125" spans="1:22" ht="10.5" customHeight="1" x14ac:dyDescent="0.3">
      <c r="A125" s="11"/>
      <c r="B125" s="11"/>
      <c r="C125" s="11"/>
      <c r="E125" s="32"/>
      <c r="F125" s="32"/>
      <c r="G125" s="32"/>
      <c r="H125" s="32"/>
      <c r="I125" s="32"/>
    </row>
    <row r="126" spans="1:22" ht="15" customHeight="1" x14ac:dyDescent="0.3">
      <c r="A126" s="11"/>
      <c r="B126" t="s">
        <v>252</v>
      </c>
      <c r="C126" s="11"/>
      <c r="E126" s="32"/>
      <c r="F126" s="32"/>
      <c r="G126" s="32"/>
      <c r="H126" s="32"/>
      <c r="I126" s="32"/>
      <c r="K126" t="s">
        <v>315</v>
      </c>
      <c r="L126">
        <v>332</v>
      </c>
      <c r="M126">
        <f>L126*11.39</f>
        <v>3781.48</v>
      </c>
    </row>
    <row r="127" spans="1:22" ht="15" customHeight="1" x14ac:dyDescent="0.3">
      <c r="A127" s="11"/>
      <c r="B127" t="s">
        <v>253</v>
      </c>
      <c r="C127" s="11"/>
      <c r="E127" s="32"/>
      <c r="F127" s="32"/>
      <c r="G127" s="32"/>
      <c r="H127" s="32"/>
      <c r="I127" s="32"/>
      <c r="K127" t="s">
        <v>316</v>
      </c>
      <c r="L127">
        <v>265</v>
      </c>
      <c r="M127">
        <f>L127*11.39</f>
        <v>3018.3500000000004</v>
      </c>
    </row>
    <row r="128" spans="1:22" ht="15" customHeight="1" x14ac:dyDescent="0.3">
      <c r="A128" s="11"/>
      <c r="B128" t="s">
        <v>415</v>
      </c>
      <c r="C128" s="11"/>
      <c r="E128" s="32"/>
      <c r="F128" s="32"/>
      <c r="G128" s="32"/>
      <c r="H128" s="32"/>
      <c r="I128" s="32"/>
    </row>
    <row r="129" spans="1:13" ht="15.75" customHeight="1" x14ac:dyDescent="0.3">
      <c r="A129" s="11"/>
      <c r="B129" s="11"/>
      <c r="C129" s="11"/>
      <c r="E129" s="32"/>
      <c r="F129" s="32"/>
      <c r="G129" s="32"/>
      <c r="H129" s="32"/>
      <c r="I129" s="32"/>
      <c r="M129" s="96">
        <f>SUM(M123:M128)</f>
        <v>222298.63000000003</v>
      </c>
    </row>
    <row r="130" spans="1:13" ht="15.6" x14ac:dyDescent="0.3">
      <c r="A130" s="93">
        <v>8</v>
      </c>
      <c r="B130" s="20" t="s">
        <v>108</v>
      </c>
      <c r="C130" s="11"/>
      <c r="D130" s="11"/>
      <c r="E130" s="11"/>
      <c r="F130" s="11"/>
      <c r="H130" s="53"/>
      <c r="I130" s="53"/>
    </row>
    <row r="131" spans="1:13" ht="15.6" x14ac:dyDescent="0.3">
      <c r="A131" s="74"/>
      <c r="B131" s="20"/>
      <c r="C131" s="11"/>
      <c r="D131" s="11"/>
      <c r="E131" s="11"/>
      <c r="F131" s="11"/>
      <c r="H131" s="14">
        <f>'R&amp;P Account'!$D$8</f>
        <v>2025</v>
      </c>
      <c r="I131" s="14">
        <f>'R&amp;P Account'!$D$8-1</f>
        <v>2024</v>
      </c>
    </row>
    <row r="132" spans="1:13" x14ac:dyDescent="0.3">
      <c r="A132" s="11"/>
      <c r="B132" s="24"/>
      <c r="C132" s="11"/>
      <c r="D132" s="11"/>
      <c r="E132" s="11"/>
      <c r="F132" s="11"/>
      <c r="H132" s="17" t="s">
        <v>103</v>
      </c>
      <c r="I132" s="17" t="s">
        <v>103</v>
      </c>
    </row>
    <row r="133" spans="1:13" x14ac:dyDescent="0.3">
      <c r="A133" s="11"/>
      <c r="B133" s="81" t="s">
        <v>84</v>
      </c>
      <c r="H133" s="26">
        <f>300+330+20</f>
        <v>650</v>
      </c>
      <c r="I133" s="26">
        <v>708</v>
      </c>
      <c r="M133" t="s">
        <v>170</v>
      </c>
    </row>
    <row r="134" spans="1:13" x14ac:dyDescent="0.3">
      <c r="B134" s="86" t="s">
        <v>256</v>
      </c>
      <c r="H134" s="26">
        <v>250</v>
      </c>
      <c r="I134" s="26">
        <v>200</v>
      </c>
    </row>
    <row r="135" spans="1:13" x14ac:dyDescent="0.3">
      <c r="B135" s="86" t="s">
        <v>85</v>
      </c>
      <c r="H135" s="26">
        <f>286.45/2</f>
        <v>143.22499999999999</v>
      </c>
      <c r="I135" s="26">
        <v>0</v>
      </c>
    </row>
    <row r="136" spans="1:13" x14ac:dyDescent="0.3">
      <c r="B136" s="86" t="s">
        <v>254</v>
      </c>
      <c r="H136" s="26">
        <f>286.45/2</f>
        <v>143.22499999999999</v>
      </c>
      <c r="I136" s="26">
        <v>0</v>
      </c>
    </row>
    <row r="137" spans="1:13" x14ac:dyDescent="0.3">
      <c r="B137" s="86" t="s">
        <v>400</v>
      </c>
      <c r="H137" s="26">
        <f>730+5</f>
        <v>735</v>
      </c>
      <c r="I137" s="26">
        <v>0</v>
      </c>
    </row>
    <row r="138" spans="1:13" x14ac:dyDescent="0.3">
      <c r="B138" s="86" t="s">
        <v>401</v>
      </c>
      <c r="H138" s="26">
        <v>1300</v>
      </c>
      <c r="I138" s="26">
        <v>0</v>
      </c>
    </row>
    <row r="139" spans="1:13" x14ac:dyDescent="0.3">
      <c r="B139" s="86" t="s">
        <v>255</v>
      </c>
      <c r="C139" s="11"/>
      <c r="D139" s="11"/>
      <c r="E139" s="11"/>
      <c r="F139" s="11"/>
      <c r="H139" s="26">
        <v>0</v>
      </c>
      <c r="I139" s="26">
        <v>908</v>
      </c>
    </row>
    <row r="140" spans="1:13" x14ac:dyDescent="0.3">
      <c r="B140" s="11"/>
      <c r="C140" s="11"/>
      <c r="D140" s="11"/>
      <c r="E140" s="11"/>
      <c r="F140" s="11"/>
      <c r="H140" s="32" t="s">
        <v>153</v>
      </c>
      <c r="I140" s="32" t="s">
        <v>153</v>
      </c>
    </row>
    <row r="141" spans="1:13" x14ac:dyDescent="0.3">
      <c r="H141" s="78">
        <f>SUM(H133:H140)</f>
        <v>3221.45</v>
      </c>
      <c r="I141" s="78">
        <f>SUM(I133:I140)</f>
        <v>1816</v>
      </c>
    </row>
    <row r="142" spans="1:13" x14ac:dyDescent="0.3">
      <c r="H142" s="32" t="s">
        <v>154</v>
      </c>
      <c r="I142" s="32" t="s">
        <v>154</v>
      </c>
    </row>
    <row r="144" spans="1:13" x14ac:dyDescent="0.3">
      <c r="A144" s="97">
        <v>9</v>
      </c>
      <c r="B144" s="14" t="s">
        <v>294</v>
      </c>
    </row>
    <row r="145" spans="2:9" ht="66" customHeight="1" x14ac:dyDescent="0.3">
      <c r="B145" s="147" t="s">
        <v>329</v>
      </c>
      <c r="C145" s="147"/>
      <c r="D145" s="147"/>
      <c r="E145" s="147"/>
      <c r="F145" s="147"/>
      <c r="G145" s="147"/>
      <c r="H145" s="147"/>
      <c r="I145" s="147"/>
    </row>
  </sheetData>
  <mergeCells count="7">
    <mergeCell ref="B145:I145"/>
    <mergeCell ref="B7:I7"/>
    <mergeCell ref="B93:I93"/>
    <mergeCell ref="B94:I94"/>
    <mergeCell ref="B97:I97"/>
    <mergeCell ref="B39:I39"/>
    <mergeCell ref="B36:I36"/>
  </mergeCells>
  <pageMargins left="0.70866141732283472" right="0.70866141732283472" top="0.74803149606299213" bottom="0.74803149606299213" header="0.31496062992125984" footer="0.31496062992125984"/>
  <pageSetup paperSize="9" scale="95" firstPageNumber="7" orientation="portrait" useFirstPageNumber="1" r:id="rId1"/>
  <headerFooter>
    <oddFooter>&amp;CPage &amp;P</oddFooter>
  </headerFooter>
  <rowBreaks count="3" manualBreakCount="3">
    <brk id="45" max="16383" man="1"/>
    <brk id="91" max="16383" man="1"/>
    <brk id="129" max="16383" man="1"/>
  </rowBreaks>
  <colBreaks count="1" manualBreakCount="1">
    <brk id="9" max="1048575"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739CB-A970-47D4-B03C-88D546CE6DF4}">
  <dimension ref="A1:W90"/>
  <sheetViews>
    <sheetView topLeftCell="O16" workbookViewId="0">
      <selection activeCell="S18" sqref="S18"/>
    </sheetView>
  </sheetViews>
  <sheetFormatPr defaultRowHeight="14.4" x14ac:dyDescent="0.3"/>
  <cols>
    <col min="1" max="1" width="16.109375" customWidth="1"/>
    <col min="2" max="2" width="10.88671875" customWidth="1"/>
    <col min="3" max="3" width="10.21875" bestFit="1" customWidth="1"/>
    <col min="4" max="4" width="10.33203125" bestFit="1" customWidth="1"/>
    <col min="5" max="5" width="9.33203125" bestFit="1" customWidth="1"/>
    <col min="6" max="6" width="10.33203125" bestFit="1" customWidth="1"/>
    <col min="7" max="7" width="9.88671875" customWidth="1"/>
    <col min="8" max="8" width="9.33203125" bestFit="1" customWidth="1"/>
    <col min="9" max="9" width="10.109375" customWidth="1"/>
    <col min="10" max="10" width="9.88671875" customWidth="1"/>
    <col min="11" max="11" width="9.33203125" customWidth="1"/>
    <col min="12" max="12" width="10.33203125" bestFit="1" customWidth="1"/>
    <col min="13" max="13" width="10.109375" bestFit="1" customWidth="1"/>
    <col min="14" max="14" width="10.6640625" customWidth="1"/>
    <col min="15" max="15" width="9.88671875" customWidth="1"/>
    <col min="16" max="17" width="10.109375" customWidth="1"/>
    <col min="18" max="18" width="9.33203125" bestFit="1" customWidth="1"/>
    <col min="19" max="19" width="11.33203125" customWidth="1"/>
    <col min="21" max="21" width="10.33203125" bestFit="1" customWidth="1"/>
  </cols>
  <sheetData>
    <row r="1" spans="1:21" x14ac:dyDescent="0.3">
      <c r="A1" t="s">
        <v>301</v>
      </c>
      <c r="F1" s="104" t="s">
        <v>330</v>
      </c>
      <c r="G1" s="105" t="s">
        <v>341</v>
      </c>
      <c r="H1" s="105"/>
      <c r="I1" s="106"/>
      <c r="K1" s="104" t="s">
        <v>342</v>
      </c>
      <c r="L1" s="105" t="s">
        <v>341</v>
      </c>
      <c r="M1" s="105"/>
      <c r="N1" s="106"/>
      <c r="P1" s="104" t="s">
        <v>233</v>
      </c>
      <c r="Q1" s="105" t="s">
        <v>341</v>
      </c>
      <c r="R1" s="105"/>
      <c r="S1" s="106"/>
    </row>
    <row r="2" spans="1:21" x14ac:dyDescent="0.3">
      <c r="F2" s="107"/>
      <c r="I2" s="108"/>
      <c r="N2" s="108"/>
      <c r="P2" s="107"/>
      <c r="S2" s="108"/>
    </row>
    <row r="3" spans="1:21" x14ac:dyDescent="0.3">
      <c r="A3" t="s">
        <v>302</v>
      </c>
      <c r="B3" s="101"/>
      <c r="C3" s="101"/>
      <c r="D3" s="102">
        <v>28792.17</v>
      </c>
      <c r="F3" s="107"/>
      <c r="I3" s="108">
        <v>800.06</v>
      </c>
      <c r="K3" s="113"/>
      <c r="L3" s="102"/>
      <c r="M3" s="102"/>
      <c r="N3" s="114">
        <v>25181.759999999998</v>
      </c>
      <c r="P3" s="107"/>
      <c r="Q3" s="101"/>
      <c r="R3" s="101"/>
      <c r="S3" s="114">
        <v>1363.12</v>
      </c>
    </row>
    <row r="4" spans="1:21" x14ac:dyDescent="0.3">
      <c r="A4" t="s">
        <v>303</v>
      </c>
      <c r="B4" s="102">
        <v>8888.06</v>
      </c>
      <c r="C4" s="102">
        <v>-8769.6200000000008</v>
      </c>
      <c r="D4" s="102">
        <f>D3+B4+C4</f>
        <v>28910.609999999993</v>
      </c>
      <c r="F4" s="107" t="s">
        <v>331</v>
      </c>
      <c r="G4" s="102">
        <f>'Notes to Accounts'!N109</f>
        <v>528.6</v>
      </c>
      <c r="H4" s="102"/>
      <c r="I4" s="109"/>
      <c r="K4" s="113" t="s">
        <v>343</v>
      </c>
      <c r="L4" s="102">
        <v>4316.1000000000004</v>
      </c>
      <c r="M4" s="102"/>
      <c r="N4" s="108"/>
      <c r="P4" s="107" t="s">
        <v>350</v>
      </c>
      <c r="Q4" s="101">
        <v>3317.75</v>
      </c>
      <c r="R4" s="101"/>
      <c r="S4" s="114"/>
    </row>
    <row r="5" spans="1:21" x14ac:dyDescent="0.3">
      <c r="A5" t="s">
        <v>304</v>
      </c>
      <c r="B5" s="102">
        <v>7344.07</v>
      </c>
      <c r="C5" s="102">
        <v>-18292.330000000002</v>
      </c>
      <c r="D5" s="102">
        <f>D4+B5+C5</f>
        <v>17962.349999999991</v>
      </c>
      <c r="F5" s="107" t="s">
        <v>332</v>
      </c>
      <c r="G5" s="102">
        <f>'Notes to Accounts'!N110</f>
        <v>264.59999999999997</v>
      </c>
      <c r="H5" s="102"/>
      <c r="I5" s="109"/>
      <c r="K5" s="113" t="s">
        <v>344</v>
      </c>
      <c r="L5" s="102">
        <v>4316.1000000000004</v>
      </c>
      <c r="M5" s="102"/>
      <c r="N5" s="108"/>
      <c r="P5" s="107" t="s">
        <v>351</v>
      </c>
      <c r="Q5" s="101"/>
      <c r="R5" s="101">
        <v>-600</v>
      </c>
      <c r="S5" s="114"/>
    </row>
    <row r="6" spans="1:21" x14ac:dyDescent="0.3">
      <c r="A6" t="s">
        <v>305</v>
      </c>
      <c r="B6" s="102">
        <v>6986.15</v>
      </c>
      <c r="C6" s="102">
        <v>-6618.28</v>
      </c>
      <c r="D6" s="102">
        <f t="shared" ref="D6:D15" si="0">D5+B6+C6</f>
        <v>18330.219999999994</v>
      </c>
      <c r="F6" s="107" t="s">
        <v>380</v>
      </c>
      <c r="G6" s="102">
        <v>11.13</v>
      </c>
      <c r="H6" s="102"/>
      <c r="I6" s="109"/>
      <c r="K6" s="113" t="s">
        <v>345</v>
      </c>
      <c r="L6" s="102">
        <v>76.900000000000006</v>
      </c>
      <c r="M6" s="102"/>
      <c r="N6" s="108"/>
      <c r="P6" s="107" t="s">
        <v>352</v>
      </c>
      <c r="Q6" s="101"/>
      <c r="R6" s="101">
        <v>-600</v>
      </c>
      <c r="S6" s="114"/>
    </row>
    <row r="7" spans="1:21" x14ac:dyDescent="0.3">
      <c r="A7" t="s">
        <v>306</v>
      </c>
      <c r="B7" s="102">
        <v>6675.91</v>
      </c>
      <c r="C7" s="102">
        <v>-9464.69</v>
      </c>
      <c r="D7" s="102">
        <f>D6+B7+C7</f>
        <v>15541.439999999993</v>
      </c>
      <c r="F7" s="107" t="s">
        <v>32</v>
      </c>
      <c r="G7" s="102">
        <v>120</v>
      </c>
      <c r="H7" s="102"/>
      <c r="I7" s="109"/>
      <c r="K7" s="113" t="s">
        <v>345</v>
      </c>
      <c r="L7" s="102">
        <v>72.52</v>
      </c>
      <c r="M7" s="102"/>
      <c r="N7" s="108"/>
      <c r="P7" s="107" t="s">
        <v>353</v>
      </c>
      <c r="Q7" s="101"/>
      <c r="R7" s="101">
        <v>-1614.4</v>
      </c>
      <c r="S7" s="114">
        <f>SUM(Q4:R7)</f>
        <v>503.34999999999991</v>
      </c>
    </row>
    <row r="8" spans="1:21" x14ac:dyDescent="0.3">
      <c r="A8" t="s">
        <v>307</v>
      </c>
      <c r="B8" s="102">
        <v>10216.69</v>
      </c>
      <c r="C8" s="102">
        <v>-7431.87</v>
      </c>
      <c r="D8" s="102">
        <f t="shared" si="0"/>
        <v>18326.259999999995</v>
      </c>
      <c r="F8" s="107" t="s">
        <v>333</v>
      </c>
      <c r="G8" s="102"/>
      <c r="H8" s="102">
        <v>-300</v>
      </c>
      <c r="I8" s="109"/>
      <c r="K8" s="113" t="s">
        <v>345</v>
      </c>
      <c r="L8" s="102">
        <v>69.459999999999994</v>
      </c>
      <c r="M8" s="102"/>
      <c r="N8" s="108"/>
      <c r="P8" s="107"/>
      <c r="Q8" s="101"/>
      <c r="R8" s="101"/>
      <c r="S8" s="114"/>
    </row>
    <row r="9" spans="1:21" x14ac:dyDescent="0.3">
      <c r="A9" t="s">
        <v>308</v>
      </c>
      <c r="B9" s="102">
        <v>6173.55</v>
      </c>
      <c r="C9" s="102">
        <v>-6668.74</v>
      </c>
      <c r="D9" s="102">
        <f t="shared" si="0"/>
        <v>17831.069999999992</v>
      </c>
      <c r="F9" s="107" t="s">
        <v>334</v>
      </c>
      <c r="G9" s="102"/>
      <c r="H9" s="102">
        <v>-240</v>
      </c>
      <c r="I9" s="109"/>
      <c r="K9" s="113" t="s">
        <v>345</v>
      </c>
      <c r="L9" s="102">
        <v>72.08</v>
      </c>
      <c r="M9" s="102"/>
      <c r="N9" s="108"/>
      <c r="P9" s="110"/>
      <c r="Q9" s="118"/>
      <c r="R9" s="118"/>
      <c r="S9" s="119">
        <f>S3+S7</f>
        <v>1866.4699999999998</v>
      </c>
    </row>
    <row r="10" spans="1:21" x14ac:dyDescent="0.3">
      <c r="A10" t="s">
        <v>309</v>
      </c>
      <c r="B10" s="102">
        <v>9499.51</v>
      </c>
      <c r="C10" s="102">
        <v>-8330.98</v>
      </c>
      <c r="D10" s="102">
        <f t="shared" si="0"/>
        <v>18999.599999999995</v>
      </c>
      <c r="F10" s="107" t="s">
        <v>335</v>
      </c>
      <c r="G10" s="102"/>
      <c r="H10" s="102">
        <v>-367.66</v>
      </c>
      <c r="I10" s="109">
        <f>SUM(G4:H10)</f>
        <v>16.670000000000016</v>
      </c>
      <c r="K10" s="113" t="s">
        <v>346</v>
      </c>
      <c r="L10" s="102">
        <v>2515.34</v>
      </c>
      <c r="M10" s="102"/>
      <c r="N10" s="108"/>
      <c r="Q10" s="101"/>
      <c r="R10" s="101"/>
      <c r="S10" s="101"/>
    </row>
    <row r="11" spans="1:21" x14ac:dyDescent="0.3">
      <c r="A11" t="s">
        <v>310</v>
      </c>
      <c r="B11" s="102">
        <v>5059.0200000000004</v>
      </c>
      <c r="C11" s="102">
        <v>-6571.71</v>
      </c>
      <c r="D11" s="102">
        <f t="shared" si="0"/>
        <v>17486.909999999996</v>
      </c>
      <c r="F11" s="107"/>
      <c r="G11" s="102"/>
      <c r="H11" s="102">
        <f>SUM(H8:H10)</f>
        <v>-907.66000000000008</v>
      </c>
      <c r="I11" s="109"/>
      <c r="K11" s="113" t="s">
        <v>347</v>
      </c>
      <c r="L11" s="102">
        <v>2475.6799999999998</v>
      </c>
      <c r="M11" s="102"/>
      <c r="N11" s="108"/>
      <c r="Q11" s="101"/>
      <c r="R11" s="101"/>
      <c r="S11" s="101"/>
    </row>
    <row r="12" spans="1:21" x14ac:dyDescent="0.3">
      <c r="A12" t="s">
        <v>311</v>
      </c>
      <c r="B12" s="102">
        <v>6841.68</v>
      </c>
      <c r="C12" s="102">
        <v>-7032.43</v>
      </c>
      <c r="D12" s="102">
        <f t="shared" si="0"/>
        <v>17296.159999999996</v>
      </c>
      <c r="F12" s="107"/>
      <c r="G12" s="102"/>
      <c r="H12" s="102"/>
      <c r="I12" s="109">
        <f>SUM(I3:I11)</f>
        <v>816.73</v>
      </c>
      <c r="K12" s="113" t="s">
        <v>348</v>
      </c>
      <c r="L12" s="102"/>
      <c r="M12" s="102">
        <v>554.79999999999995</v>
      </c>
      <c r="N12" s="108"/>
      <c r="Q12" s="101"/>
      <c r="R12" s="101"/>
      <c r="S12" s="101"/>
    </row>
    <row r="13" spans="1:21" x14ac:dyDescent="0.3">
      <c r="A13" t="s">
        <v>312</v>
      </c>
      <c r="B13" s="102">
        <v>9204.01</v>
      </c>
      <c r="C13" s="102">
        <v>-7128.23</v>
      </c>
      <c r="D13" s="102">
        <f t="shared" si="0"/>
        <v>19371.939999999999</v>
      </c>
      <c r="F13" s="107"/>
      <c r="I13" s="108"/>
      <c r="K13" s="113" t="s">
        <v>349</v>
      </c>
      <c r="L13" s="102"/>
      <c r="M13" s="102">
        <v>-10088.219999999999</v>
      </c>
      <c r="N13" s="114">
        <f>SUM(L4:M13)</f>
        <v>4380.76</v>
      </c>
    </row>
    <row r="14" spans="1:21" x14ac:dyDescent="0.3">
      <c r="A14" t="s">
        <v>313</v>
      </c>
      <c r="B14" s="102">
        <v>2823.76</v>
      </c>
      <c r="C14" s="102">
        <v>-6609.14</v>
      </c>
      <c r="D14" s="102">
        <f t="shared" si="0"/>
        <v>15586.559999999998</v>
      </c>
      <c r="F14" s="107" t="s">
        <v>336</v>
      </c>
      <c r="I14" s="108"/>
      <c r="K14" s="113"/>
      <c r="L14" s="102"/>
      <c r="M14" s="102"/>
      <c r="N14" s="108"/>
    </row>
    <row r="15" spans="1:21" x14ac:dyDescent="0.3">
      <c r="A15" t="s">
        <v>314</v>
      </c>
      <c r="B15" s="102">
        <v>10306.73</v>
      </c>
      <c r="C15" s="102">
        <v>-2752.35</v>
      </c>
      <c r="D15" s="102">
        <f t="shared" si="0"/>
        <v>23140.94</v>
      </c>
      <c r="F15" s="107" t="s">
        <v>337</v>
      </c>
      <c r="H15" s="101">
        <f>H9</f>
        <v>-240</v>
      </c>
      <c r="I15" s="108"/>
      <c r="K15" s="115"/>
      <c r="L15" s="116"/>
      <c r="M15" s="116"/>
      <c r="N15" s="117">
        <f>N3+N13</f>
        <v>29562.519999999997</v>
      </c>
      <c r="S15" s="31">
        <v>2025</v>
      </c>
      <c r="U15" s="31">
        <v>2024</v>
      </c>
    </row>
    <row r="16" spans="1:21" x14ac:dyDescent="0.3">
      <c r="F16" s="107" t="s">
        <v>338</v>
      </c>
      <c r="H16" s="101">
        <v>-760</v>
      </c>
      <c r="I16" s="108"/>
      <c r="K16" s="102"/>
      <c r="L16" s="102"/>
      <c r="M16" s="102"/>
    </row>
    <row r="17" spans="2:23" x14ac:dyDescent="0.3">
      <c r="B17" s="101">
        <f>SUM(B4:B16)</f>
        <v>90019.14</v>
      </c>
      <c r="C17" s="101">
        <f>SUM(C4:C16)</f>
        <v>-95670.370000000024</v>
      </c>
      <c r="F17" s="107" t="s">
        <v>339</v>
      </c>
      <c r="H17" s="101">
        <v>-300</v>
      </c>
      <c r="I17" s="108"/>
      <c r="K17" s="102" t="s">
        <v>381</v>
      </c>
      <c r="L17" s="102">
        <f>L4+L5</f>
        <v>8632.2000000000007</v>
      </c>
      <c r="M17" s="102"/>
      <c r="P17" t="str">
        <f>A1</f>
        <v>Main RBS A/c</v>
      </c>
      <c r="S17" s="101">
        <f>D15</f>
        <v>23140.94</v>
      </c>
      <c r="U17" s="101">
        <f>D3</f>
        <v>28792.17</v>
      </c>
    </row>
    <row r="18" spans="2:23" x14ac:dyDescent="0.3">
      <c r="F18" s="107"/>
      <c r="H18" s="101">
        <f>SUM(H15:H17)</f>
        <v>-1300</v>
      </c>
      <c r="I18" s="108"/>
      <c r="K18" s="102" t="s">
        <v>380</v>
      </c>
      <c r="L18" s="102">
        <f>SUM(L6:L9)</f>
        <v>290.95999999999998</v>
      </c>
      <c r="M18" s="102"/>
      <c r="P18" t="s">
        <v>402</v>
      </c>
      <c r="S18">
        <f>-P40</f>
        <v>-636.45000000000005</v>
      </c>
    </row>
    <row r="19" spans="2:23" x14ac:dyDescent="0.3">
      <c r="F19" s="110" t="s">
        <v>340</v>
      </c>
      <c r="G19" s="111"/>
      <c r="H19" s="111"/>
      <c r="I19" s="112"/>
      <c r="K19" s="102" t="s">
        <v>382</v>
      </c>
      <c r="L19" s="96">
        <f>L10+L11</f>
        <v>4991.0200000000004</v>
      </c>
      <c r="P19" t="str">
        <f>F1</f>
        <v>Jam</v>
      </c>
      <c r="S19" s="101">
        <f>I12</f>
        <v>816.73</v>
      </c>
      <c r="U19" s="101">
        <f>I3</f>
        <v>800.06</v>
      </c>
    </row>
    <row r="20" spans="2:23" x14ac:dyDescent="0.3">
      <c r="K20" s="102" t="s">
        <v>348</v>
      </c>
      <c r="L20" s="118">
        <f>L12</f>
        <v>0</v>
      </c>
      <c r="M20" t="s">
        <v>383</v>
      </c>
      <c r="P20" s="107" t="str">
        <f>K1</f>
        <v>Fabric</v>
      </c>
      <c r="S20" s="96">
        <f>N15</f>
        <v>29562.519999999997</v>
      </c>
      <c r="U20" s="101">
        <f>N3</f>
        <v>25181.759999999998</v>
      </c>
    </row>
    <row r="21" spans="2:23" x14ac:dyDescent="0.3">
      <c r="F21" t="s">
        <v>381</v>
      </c>
      <c r="G21" s="96">
        <f>G4+G5</f>
        <v>793.2</v>
      </c>
      <c r="L21" s="101">
        <f>SUM(L17:L20)</f>
        <v>13914.18</v>
      </c>
      <c r="P21" t="str">
        <f>P1</f>
        <v>Guild</v>
      </c>
      <c r="S21" s="101">
        <f>S9</f>
        <v>1866.4699999999998</v>
      </c>
      <c r="U21" s="101">
        <f>S3</f>
        <v>1363.12</v>
      </c>
    </row>
    <row r="22" spans="2:23" x14ac:dyDescent="0.3">
      <c r="G22" s="101">
        <f>G6</f>
        <v>11.13</v>
      </c>
      <c r="J22" t="s">
        <v>376</v>
      </c>
      <c r="S22" s="101">
        <f>SUM(S17:S21)</f>
        <v>54750.209999999992</v>
      </c>
      <c r="U22" s="101">
        <f>SUM(U17:U21)</f>
        <v>56137.11</v>
      </c>
    </row>
    <row r="23" spans="2:23" x14ac:dyDescent="0.3">
      <c r="G23" s="118">
        <f>G7</f>
        <v>120</v>
      </c>
    </row>
    <row r="24" spans="2:23" x14ac:dyDescent="0.3">
      <c r="G24" s="96">
        <f>SUM(G21:G23)</f>
        <v>924.33</v>
      </c>
      <c r="P24" t="s">
        <v>354</v>
      </c>
    </row>
    <row r="25" spans="2:23" x14ac:dyDescent="0.3">
      <c r="P25" t="str">
        <f>'Notes to Accounts'!P121</f>
        <v>Gen Cong</v>
      </c>
      <c r="S25" s="101">
        <f>'Notes to Accounts'!V121</f>
        <v>1898.2499999999998</v>
      </c>
    </row>
    <row r="26" spans="2:23" x14ac:dyDescent="0.3">
      <c r="P26" t="str">
        <f>'Notes to Accounts'!B111</f>
        <v>Martha Duncan Bequest</v>
      </c>
      <c r="S26" s="101">
        <f>'Notes to Accounts'!V111</f>
        <v>171.05</v>
      </c>
      <c r="V26" t="s">
        <v>407</v>
      </c>
      <c r="W26">
        <v>887.79</v>
      </c>
    </row>
    <row r="27" spans="2:23" x14ac:dyDescent="0.3">
      <c r="V27" t="s">
        <v>233</v>
      </c>
      <c r="W27">
        <v>3.12</v>
      </c>
    </row>
    <row r="28" spans="2:23" x14ac:dyDescent="0.3">
      <c r="S28" s="101">
        <f>SUM(S22:S27)</f>
        <v>56819.509999999995</v>
      </c>
      <c r="V28" t="s">
        <v>330</v>
      </c>
      <c r="W28">
        <v>0.06</v>
      </c>
    </row>
    <row r="29" spans="2:23" x14ac:dyDescent="0.3">
      <c r="S29" s="101"/>
    </row>
    <row r="30" spans="2:23" x14ac:dyDescent="0.3">
      <c r="P30" t="s">
        <v>46</v>
      </c>
      <c r="S30" s="101">
        <f>'Statement of Balances'!G20</f>
        <v>56819.469999999972</v>
      </c>
      <c r="U30" s="52">
        <f>'Statement of Balances'!G13</f>
        <v>55246</v>
      </c>
      <c r="V30" t="s">
        <v>408</v>
      </c>
      <c r="W30">
        <v>0.14000000000000001</v>
      </c>
    </row>
    <row r="32" spans="2:23" x14ac:dyDescent="0.3">
      <c r="P32" t="s">
        <v>391</v>
      </c>
      <c r="S32" s="96">
        <f>S28-S30</f>
        <v>4.0000000022700988E-2</v>
      </c>
      <c r="U32">
        <f>U22-U30</f>
        <v>891.11000000000058</v>
      </c>
      <c r="W32">
        <f>SUM(W26:W31)</f>
        <v>891.1099999999999</v>
      </c>
    </row>
    <row r="34" spans="1:19" x14ac:dyDescent="0.3">
      <c r="E34" t="s">
        <v>303</v>
      </c>
      <c r="F34" t="s">
        <v>304</v>
      </c>
      <c r="G34" t="s">
        <v>305</v>
      </c>
      <c r="H34" t="s">
        <v>306</v>
      </c>
      <c r="I34" t="s">
        <v>307</v>
      </c>
      <c r="J34" t="s">
        <v>308</v>
      </c>
      <c r="K34" t="s">
        <v>309</v>
      </c>
      <c r="L34" t="s">
        <v>310</v>
      </c>
      <c r="M34" t="s">
        <v>311</v>
      </c>
      <c r="N34" t="s">
        <v>312</v>
      </c>
      <c r="O34" t="s">
        <v>313</v>
      </c>
      <c r="P34" t="s">
        <v>314</v>
      </c>
      <c r="Q34" t="s">
        <v>25</v>
      </c>
      <c r="S34" t="s">
        <v>342</v>
      </c>
    </row>
    <row r="36" spans="1:19" x14ac:dyDescent="0.3">
      <c r="A36" t="s">
        <v>220</v>
      </c>
      <c r="B36" s="31" t="s">
        <v>378</v>
      </c>
      <c r="C36" s="101">
        <v>54770</v>
      </c>
      <c r="D36" s="96">
        <f>C36-Q36</f>
        <v>0</v>
      </c>
      <c r="E36" s="101"/>
      <c r="F36" s="101">
        <v>5477</v>
      </c>
      <c r="G36" s="101">
        <v>5477</v>
      </c>
      <c r="H36" s="101">
        <v>5477</v>
      </c>
      <c r="I36" s="101">
        <v>5477</v>
      </c>
      <c r="J36" s="101">
        <v>5477</v>
      </c>
      <c r="K36" s="101">
        <v>5477</v>
      </c>
      <c r="L36" s="101">
        <v>5477</v>
      </c>
      <c r="M36" s="101">
        <v>5477</v>
      </c>
      <c r="N36" s="101">
        <v>5477</v>
      </c>
      <c r="O36" s="101">
        <v>5477</v>
      </c>
      <c r="P36" s="101"/>
      <c r="Q36" s="101">
        <f t="shared" ref="Q36" si="1">SUM(E36:P36)</f>
        <v>54770</v>
      </c>
    </row>
    <row r="37" spans="1:19" x14ac:dyDescent="0.3">
      <c r="A37" t="s">
        <v>67</v>
      </c>
      <c r="B37" s="31" t="s">
        <v>378</v>
      </c>
      <c r="C37" s="101">
        <v>2925</v>
      </c>
      <c r="D37" s="96">
        <f t="shared" ref="D37:D63" si="2">C37-Q37</f>
        <v>0</v>
      </c>
      <c r="E37" s="101">
        <v>2925</v>
      </c>
      <c r="F37" s="101"/>
      <c r="G37" s="101"/>
      <c r="H37" s="101"/>
      <c r="I37" s="101"/>
      <c r="J37" s="101"/>
      <c r="K37" s="101"/>
      <c r="L37" s="101"/>
      <c r="M37" s="101"/>
      <c r="N37" s="101"/>
      <c r="O37" s="101"/>
      <c r="P37" s="101"/>
      <c r="Q37" s="101">
        <f>SUM(E37:P37)</f>
        <v>2925</v>
      </c>
    </row>
    <row r="38" spans="1:19" x14ac:dyDescent="0.3">
      <c r="A38" t="s">
        <v>284</v>
      </c>
      <c r="B38" s="31" t="s">
        <v>378</v>
      </c>
      <c r="C38" s="101">
        <v>4722.28</v>
      </c>
      <c r="D38" s="96">
        <f t="shared" si="2"/>
        <v>0</v>
      </c>
      <c r="E38" s="101">
        <v>3541.71</v>
      </c>
      <c r="F38" s="101"/>
      <c r="G38" s="101"/>
      <c r="H38" s="101">
        <v>1180.57</v>
      </c>
      <c r="I38" s="101"/>
      <c r="J38" s="101"/>
      <c r="K38" s="101"/>
      <c r="L38" s="101"/>
      <c r="M38" s="101"/>
      <c r="N38" s="101"/>
      <c r="O38" s="101"/>
      <c r="P38" s="101"/>
      <c r="Q38" s="101">
        <f t="shared" ref="Q38:Q61" si="3">SUM(E38:P38)</f>
        <v>4722.28</v>
      </c>
    </row>
    <row r="39" spans="1:19" x14ac:dyDescent="0.3">
      <c r="A39" t="s">
        <v>32</v>
      </c>
      <c r="B39" s="31" t="s">
        <v>378</v>
      </c>
      <c r="C39" s="101">
        <v>1000</v>
      </c>
      <c r="D39" s="96">
        <f t="shared" si="2"/>
        <v>0</v>
      </c>
      <c r="E39" s="101">
        <f>550-E40</f>
        <v>0</v>
      </c>
      <c r="F39" s="101"/>
      <c r="G39" s="101"/>
      <c r="H39" s="101">
        <f>1300-H40</f>
        <v>0</v>
      </c>
      <c r="I39" s="101"/>
      <c r="J39" s="101"/>
      <c r="K39" s="101">
        <f>735-K40</f>
        <v>0</v>
      </c>
      <c r="L39" s="101"/>
      <c r="M39" s="101"/>
      <c r="N39" s="101"/>
      <c r="O39" s="101"/>
      <c r="P39" s="101">
        <v>1000</v>
      </c>
      <c r="Q39" s="101">
        <f t="shared" si="3"/>
        <v>1000</v>
      </c>
    </row>
    <row r="40" spans="1:19" x14ac:dyDescent="0.3">
      <c r="A40" t="s">
        <v>399</v>
      </c>
      <c r="B40" s="31"/>
      <c r="C40" s="101"/>
      <c r="D40" s="96"/>
      <c r="E40" s="101">
        <v>550</v>
      </c>
      <c r="F40" s="101"/>
      <c r="G40" s="101"/>
      <c r="H40" s="101">
        <v>1300</v>
      </c>
      <c r="I40" s="101"/>
      <c r="J40" s="101"/>
      <c r="K40" s="101">
        <v>735</v>
      </c>
      <c r="L40" s="101"/>
      <c r="M40" s="101"/>
      <c r="N40" s="101"/>
      <c r="O40" s="101"/>
      <c r="P40">
        <f>286.45+350</f>
        <v>636.45000000000005</v>
      </c>
      <c r="Q40" s="101"/>
      <c r="R40" s="101">
        <f>SUM(E40:P40)</f>
        <v>3221.45</v>
      </c>
    </row>
    <row r="41" spans="1:19" x14ac:dyDescent="0.3">
      <c r="A41" t="s">
        <v>368</v>
      </c>
      <c r="B41" s="31" t="s">
        <v>378</v>
      </c>
      <c r="C41" s="101">
        <v>668.67</v>
      </c>
      <c r="D41" s="96">
        <f t="shared" si="2"/>
        <v>0</v>
      </c>
      <c r="E41" s="101">
        <v>121.58</v>
      </c>
      <c r="F41" s="101"/>
      <c r="G41" s="101"/>
      <c r="H41" s="101">
        <v>319.74</v>
      </c>
      <c r="I41" s="101"/>
      <c r="J41" s="101"/>
      <c r="K41" s="101">
        <v>94.16</v>
      </c>
      <c r="L41" s="101"/>
      <c r="M41" s="101"/>
      <c r="N41" s="101">
        <v>133.19</v>
      </c>
      <c r="O41" s="101"/>
      <c r="P41" s="101"/>
      <c r="Q41" s="101">
        <f t="shared" si="3"/>
        <v>668.67000000000007</v>
      </c>
    </row>
    <row r="42" spans="1:19" x14ac:dyDescent="0.3">
      <c r="A42" t="s">
        <v>374</v>
      </c>
      <c r="B42" s="31" t="s">
        <v>378</v>
      </c>
      <c r="C42" s="101">
        <v>876.6</v>
      </c>
      <c r="D42" s="96">
        <f t="shared" si="2"/>
        <v>0</v>
      </c>
      <c r="E42" s="101">
        <v>205.2</v>
      </c>
      <c r="F42" s="101"/>
      <c r="G42" s="101"/>
      <c r="H42" s="101"/>
      <c r="I42" s="101">
        <v>237.6</v>
      </c>
      <c r="J42" s="101"/>
      <c r="K42" s="101">
        <v>234</v>
      </c>
      <c r="L42" s="101"/>
      <c r="M42" s="101"/>
      <c r="N42" s="101">
        <v>199.8</v>
      </c>
      <c r="O42" s="101"/>
      <c r="P42" s="101"/>
      <c r="Q42" s="101">
        <f t="shared" si="3"/>
        <v>876.59999999999991</v>
      </c>
    </row>
    <row r="43" spans="1:19" x14ac:dyDescent="0.3">
      <c r="A43" t="s">
        <v>369</v>
      </c>
      <c r="B43" s="31" t="s">
        <v>378</v>
      </c>
      <c r="C43" s="101">
        <v>408</v>
      </c>
      <c r="D43" s="96">
        <f t="shared" si="2"/>
        <v>0</v>
      </c>
      <c r="E43" s="101">
        <v>34</v>
      </c>
      <c r="F43" s="101">
        <v>34</v>
      </c>
      <c r="G43" s="101">
        <v>34</v>
      </c>
      <c r="H43" s="101">
        <v>34</v>
      </c>
      <c r="I43" s="101">
        <v>34</v>
      </c>
      <c r="J43" s="101">
        <v>34</v>
      </c>
      <c r="K43" s="101">
        <v>34</v>
      </c>
      <c r="L43" s="101">
        <v>34</v>
      </c>
      <c r="M43" s="101">
        <v>34</v>
      </c>
      <c r="N43" s="101">
        <v>34</v>
      </c>
      <c r="O43" s="101">
        <v>34</v>
      </c>
      <c r="P43" s="101">
        <v>34</v>
      </c>
      <c r="Q43" s="101">
        <f t="shared" si="3"/>
        <v>408</v>
      </c>
    </row>
    <row r="44" spans="1:19" x14ac:dyDescent="0.3">
      <c r="A44" t="s">
        <v>364</v>
      </c>
      <c r="B44" s="31" t="s">
        <v>378</v>
      </c>
      <c r="C44" s="101">
        <v>6737.29</v>
      </c>
      <c r="D44" s="96">
        <f t="shared" si="2"/>
        <v>0</v>
      </c>
      <c r="E44" s="101">
        <v>848.93</v>
      </c>
      <c r="F44" s="101">
        <v>1047.8599999999999</v>
      </c>
      <c r="G44" s="101">
        <v>850.37</v>
      </c>
      <c r="H44" s="101">
        <v>801.69</v>
      </c>
      <c r="I44" s="101">
        <v>483.62</v>
      </c>
      <c r="J44" s="101">
        <v>257.08999999999997</v>
      </c>
      <c r="K44" s="101">
        <v>270.60000000000002</v>
      </c>
      <c r="L44" s="101">
        <v>158</v>
      </c>
      <c r="M44" s="101">
        <v>177.17</v>
      </c>
      <c r="N44" s="101">
        <v>365.36</v>
      </c>
      <c r="O44" s="101">
        <v>508.93</v>
      </c>
      <c r="P44" s="101">
        <v>967.67</v>
      </c>
      <c r="Q44" s="101">
        <f t="shared" si="3"/>
        <v>6737.29</v>
      </c>
    </row>
    <row r="45" spans="1:19" x14ac:dyDescent="0.3">
      <c r="A45" t="s">
        <v>379</v>
      </c>
      <c r="B45" s="31" t="s">
        <v>378</v>
      </c>
      <c r="C45" s="101">
        <v>294.43</v>
      </c>
      <c r="D45" s="96">
        <f t="shared" si="2"/>
        <v>0</v>
      </c>
      <c r="E45" s="101">
        <v>48.2</v>
      </c>
      <c r="F45" s="101"/>
      <c r="G45" s="101">
        <v>84.62</v>
      </c>
      <c r="H45" s="101"/>
      <c r="I45" s="101">
        <v>61.83</v>
      </c>
      <c r="J45" s="101"/>
      <c r="K45" s="101">
        <v>53.31</v>
      </c>
      <c r="L45" s="101"/>
      <c r="M45" s="101"/>
      <c r="N45" s="101"/>
      <c r="O45" s="101"/>
      <c r="P45" s="101">
        <v>46.47</v>
      </c>
      <c r="Q45" s="101">
        <f t="shared" si="3"/>
        <v>294.42999999999995</v>
      </c>
    </row>
    <row r="46" spans="1:19" x14ac:dyDescent="0.3">
      <c r="A46" t="s">
        <v>367</v>
      </c>
      <c r="B46" s="31" t="s">
        <v>378</v>
      </c>
      <c r="C46" s="101">
        <v>713.76</v>
      </c>
      <c r="D46" s="96">
        <f t="shared" si="2"/>
        <v>0</v>
      </c>
      <c r="E46" s="101">
        <v>55.52</v>
      </c>
      <c r="F46" s="101">
        <v>55.52</v>
      </c>
      <c r="G46" s="101">
        <v>55.52</v>
      </c>
      <c r="H46">
        <v>60.9</v>
      </c>
      <c r="I46" s="101">
        <v>59.06</v>
      </c>
      <c r="J46" s="101">
        <v>59.06</v>
      </c>
      <c r="K46" s="101">
        <v>59.06</v>
      </c>
      <c r="L46" s="101">
        <v>59.06</v>
      </c>
      <c r="M46" s="101">
        <v>72.88</v>
      </c>
      <c r="N46" s="101">
        <v>59.06</v>
      </c>
      <c r="O46" s="101">
        <v>59.06</v>
      </c>
      <c r="P46" s="101">
        <v>59.06</v>
      </c>
      <c r="Q46" s="101">
        <f t="shared" si="3"/>
        <v>713.75999999999976</v>
      </c>
    </row>
    <row r="47" spans="1:19" x14ac:dyDescent="0.3">
      <c r="A47" t="s">
        <v>356</v>
      </c>
      <c r="B47" s="31" t="s">
        <v>378</v>
      </c>
      <c r="C47">
        <v>4860.96</v>
      </c>
      <c r="D47" s="96">
        <f t="shared" si="2"/>
        <v>0</v>
      </c>
      <c r="E47" s="101">
        <v>439.48</v>
      </c>
      <c r="F47" s="101">
        <v>439.48</v>
      </c>
      <c r="I47" s="101">
        <v>497.75</v>
      </c>
      <c r="J47" s="101">
        <v>497.75</v>
      </c>
      <c r="K47" s="101">
        <v>497.75</v>
      </c>
      <c r="L47" s="101">
        <v>497.75</v>
      </c>
      <c r="M47" s="101">
        <v>497.75</v>
      </c>
      <c r="N47" s="101">
        <v>497.75</v>
      </c>
      <c r="O47" s="101">
        <v>497.75</v>
      </c>
      <c r="P47" s="101">
        <v>497.75</v>
      </c>
      <c r="Q47" s="101">
        <f t="shared" si="3"/>
        <v>4860.96</v>
      </c>
    </row>
    <row r="48" spans="1:19" x14ac:dyDescent="0.3">
      <c r="A48" t="s">
        <v>366</v>
      </c>
      <c r="B48" s="31" t="s">
        <v>378</v>
      </c>
      <c r="C48" s="101">
        <v>827.77</v>
      </c>
      <c r="D48" s="96">
        <f t="shared" si="2"/>
        <v>0</v>
      </c>
      <c r="F48" s="101">
        <v>815.17</v>
      </c>
      <c r="I48" s="101">
        <v>12.6</v>
      </c>
      <c r="Q48" s="101">
        <f t="shared" si="3"/>
        <v>827.77</v>
      </c>
    </row>
    <row r="49" spans="1:17" x14ac:dyDescent="0.3">
      <c r="A49" t="s">
        <v>357</v>
      </c>
      <c r="B49" s="31" t="s">
        <v>378</v>
      </c>
      <c r="C49" s="101">
        <v>10000</v>
      </c>
      <c r="D49" s="96">
        <f t="shared" si="2"/>
        <v>0</v>
      </c>
      <c r="F49" s="101">
        <v>10000</v>
      </c>
      <c r="Q49" s="101">
        <f t="shared" si="3"/>
        <v>10000</v>
      </c>
    </row>
    <row r="50" spans="1:17" x14ac:dyDescent="0.3">
      <c r="A50" t="s">
        <v>358</v>
      </c>
      <c r="B50" s="31" t="s">
        <v>378</v>
      </c>
      <c r="C50" s="101">
        <v>390.9</v>
      </c>
      <c r="D50" s="96">
        <f t="shared" si="2"/>
        <v>0</v>
      </c>
      <c r="F50" s="101">
        <v>390.9</v>
      </c>
      <c r="Q50" s="101">
        <f t="shared" si="3"/>
        <v>390.9</v>
      </c>
    </row>
    <row r="51" spans="1:17" x14ac:dyDescent="0.3">
      <c r="A51" t="s">
        <v>359</v>
      </c>
      <c r="B51" s="31" t="s">
        <v>378</v>
      </c>
      <c r="C51" s="101">
        <v>183.6</v>
      </c>
      <c r="D51" s="96">
        <f t="shared" si="2"/>
        <v>0</v>
      </c>
      <c r="E51" s="101"/>
      <c r="F51" s="101">
        <v>32.4</v>
      </c>
      <c r="G51" s="101"/>
      <c r="H51" s="101"/>
      <c r="I51" s="101">
        <v>43.2</v>
      </c>
      <c r="J51" s="101"/>
      <c r="K51" s="101">
        <v>75.599999999999994</v>
      </c>
      <c r="L51" s="101"/>
      <c r="M51" s="101"/>
      <c r="N51" s="101"/>
      <c r="O51" s="101"/>
      <c r="P51" s="101">
        <v>32.4</v>
      </c>
      <c r="Q51" s="101">
        <f t="shared" si="3"/>
        <v>183.6</v>
      </c>
    </row>
    <row r="52" spans="1:17" x14ac:dyDescent="0.3">
      <c r="A52" t="s">
        <v>355</v>
      </c>
      <c r="B52" s="31" t="s">
        <v>378</v>
      </c>
      <c r="C52" s="101">
        <f>193+198.83+240.9</f>
        <v>632.73</v>
      </c>
      <c r="D52" s="96">
        <f t="shared" si="2"/>
        <v>0</v>
      </c>
      <c r="E52" s="101"/>
      <c r="F52" s="101"/>
      <c r="G52" s="101">
        <v>18</v>
      </c>
      <c r="H52" s="101">
        <v>34.99</v>
      </c>
      <c r="I52" s="101">
        <v>175</v>
      </c>
      <c r="J52" s="101">
        <v>163.84</v>
      </c>
      <c r="K52" s="101"/>
      <c r="L52" s="101">
        <v>240.9</v>
      </c>
      <c r="M52" s="101"/>
      <c r="N52" s="101"/>
      <c r="O52" s="101"/>
      <c r="P52" s="101"/>
      <c r="Q52" s="101">
        <f t="shared" si="3"/>
        <v>632.73</v>
      </c>
    </row>
    <row r="53" spans="1:17" x14ac:dyDescent="0.3">
      <c r="A53" t="s">
        <v>360</v>
      </c>
      <c r="B53" s="31" t="s">
        <v>378</v>
      </c>
      <c r="C53" s="101">
        <v>213.74</v>
      </c>
      <c r="D53" s="96">
        <f t="shared" si="2"/>
        <v>0</v>
      </c>
      <c r="E53" s="101"/>
      <c r="F53" s="101"/>
      <c r="G53" s="101">
        <v>56.57</v>
      </c>
      <c r="H53" s="101"/>
      <c r="I53" s="101"/>
      <c r="J53" s="101"/>
      <c r="K53" s="101">
        <v>61.6</v>
      </c>
      <c r="L53" s="101"/>
      <c r="M53" s="101"/>
      <c r="N53" s="101">
        <v>95.57</v>
      </c>
      <c r="O53" s="101"/>
      <c r="P53" s="101"/>
      <c r="Q53" s="101">
        <f t="shared" si="3"/>
        <v>213.74</v>
      </c>
    </row>
    <row r="54" spans="1:17" x14ac:dyDescent="0.3">
      <c r="A54" t="s">
        <v>361</v>
      </c>
      <c r="B54" s="31" t="s">
        <v>378</v>
      </c>
      <c r="C54" s="101">
        <v>42</v>
      </c>
      <c r="D54" s="96">
        <f t="shared" si="2"/>
        <v>0</v>
      </c>
      <c r="E54" s="101"/>
      <c r="F54" s="101"/>
      <c r="G54" s="101">
        <v>42</v>
      </c>
      <c r="H54" s="101"/>
      <c r="I54" s="101"/>
      <c r="J54" s="101"/>
      <c r="K54" s="101"/>
      <c r="L54" s="101"/>
      <c r="M54" s="101"/>
      <c r="N54" s="101"/>
      <c r="O54" s="101"/>
      <c r="P54" s="101"/>
      <c r="Q54" s="101">
        <f t="shared" si="3"/>
        <v>42</v>
      </c>
    </row>
    <row r="55" spans="1:17" x14ac:dyDescent="0.3">
      <c r="A55" t="s">
        <v>362</v>
      </c>
      <c r="B55" s="31" t="s">
        <v>378</v>
      </c>
      <c r="C55" s="101">
        <v>584.29999999999995</v>
      </c>
      <c r="D55" s="96">
        <f t="shared" si="2"/>
        <v>0</v>
      </c>
      <c r="E55" s="101"/>
      <c r="F55" s="101"/>
      <c r="G55" s="101"/>
      <c r="H55" s="101">
        <v>220</v>
      </c>
      <c r="I55" s="101"/>
      <c r="J55" s="101"/>
      <c r="K55" s="101">
        <v>150.30000000000001</v>
      </c>
      <c r="L55" s="101">
        <v>105</v>
      </c>
      <c r="M55" s="101"/>
      <c r="N55" s="101">
        <v>109</v>
      </c>
      <c r="O55" s="101"/>
      <c r="P55" s="101"/>
      <c r="Q55" s="101">
        <f t="shared" si="3"/>
        <v>584.29999999999995</v>
      </c>
    </row>
    <row r="56" spans="1:17" x14ac:dyDescent="0.3">
      <c r="A56" t="s">
        <v>363</v>
      </c>
      <c r="B56" s="31" t="s">
        <v>378</v>
      </c>
      <c r="C56" s="101">
        <v>68.2</v>
      </c>
      <c r="D56" s="96">
        <f t="shared" si="2"/>
        <v>0</v>
      </c>
      <c r="E56" s="101"/>
      <c r="F56" s="101"/>
      <c r="G56" s="101"/>
      <c r="H56" s="101">
        <v>35.799999999999997</v>
      </c>
      <c r="I56" s="101"/>
      <c r="J56" s="101"/>
      <c r="K56" s="101"/>
      <c r="L56" s="101"/>
      <c r="M56" s="101"/>
      <c r="N56" s="101"/>
      <c r="O56" s="101">
        <v>32.4</v>
      </c>
      <c r="P56" s="101"/>
      <c r="Q56" s="101">
        <f t="shared" si="3"/>
        <v>68.199999999999989</v>
      </c>
    </row>
    <row r="57" spans="1:17" x14ac:dyDescent="0.3">
      <c r="A57" t="s">
        <v>365</v>
      </c>
      <c r="B57" s="31" t="s">
        <v>378</v>
      </c>
      <c r="C57" s="101">
        <v>150.21</v>
      </c>
      <c r="D57" s="96">
        <f t="shared" si="2"/>
        <v>0</v>
      </c>
      <c r="E57" s="101"/>
      <c r="F57" s="101"/>
      <c r="G57" s="101"/>
      <c r="H57" s="101"/>
      <c r="I57" s="101">
        <v>150.21</v>
      </c>
      <c r="J57" s="101"/>
      <c r="K57" s="101"/>
      <c r="L57" s="101"/>
      <c r="M57" s="101"/>
      <c r="N57" s="101"/>
      <c r="O57" s="101"/>
      <c r="P57" s="101"/>
      <c r="Q57" s="101">
        <f t="shared" si="3"/>
        <v>150.21</v>
      </c>
    </row>
    <row r="58" spans="1:17" x14ac:dyDescent="0.3">
      <c r="A58" t="s">
        <v>370</v>
      </c>
      <c r="B58" s="31" t="s">
        <v>378</v>
      </c>
      <c r="C58" s="101">
        <v>200</v>
      </c>
      <c r="D58" s="96">
        <f t="shared" si="2"/>
        <v>0</v>
      </c>
      <c r="E58" s="101"/>
      <c r="F58" s="101"/>
      <c r="G58" s="101"/>
      <c r="H58" s="101"/>
      <c r="I58" s="101">
        <v>200</v>
      </c>
      <c r="J58" s="101"/>
      <c r="K58" s="101"/>
      <c r="L58" s="101"/>
      <c r="M58" s="101"/>
      <c r="N58" s="101"/>
      <c r="O58" s="101"/>
      <c r="P58" s="101"/>
      <c r="Q58" s="101">
        <f t="shared" si="3"/>
        <v>200</v>
      </c>
    </row>
    <row r="59" spans="1:17" x14ac:dyDescent="0.3">
      <c r="A59" t="s">
        <v>371</v>
      </c>
      <c r="B59" s="31" t="s">
        <v>378</v>
      </c>
      <c r="C59" s="101">
        <v>180</v>
      </c>
      <c r="D59" s="96">
        <f t="shared" si="2"/>
        <v>0</v>
      </c>
      <c r="E59" s="101"/>
      <c r="F59" s="101"/>
      <c r="G59" s="101"/>
      <c r="H59" s="101"/>
      <c r="I59" s="101"/>
      <c r="J59" s="101">
        <v>180</v>
      </c>
      <c r="K59" s="101"/>
      <c r="L59" s="101"/>
      <c r="M59" s="101"/>
      <c r="N59" s="101"/>
      <c r="O59" s="101"/>
      <c r="P59" s="101"/>
      <c r="Q59" s="101">
        <f t="shared" si="3"/>
        <v>180</v>
      </c>
    </row>
    <row r="60" spans="1:17" x14ac:dyDescent="0.3">
      <c r="A60" t="s">
        <v>372</v>
      </c>
      <c r="B60" s="31" t="s">
        <v>378</v>
      </c>
      <c r="C60" s="101">
        <v>1362.29</v>
      </c>
      <c r="D60" s="96">
        <f t="shared" si="2"/>
        <v>0</v>
      </c>
      <c r="E60" s="101"/>
      <c r="F60" s="101"/>
      <c r="G60" s="101"/>
      <c r="H60" s="101"/>
      <c r="I60" s="101"/>
      <c r="J60" s="101"/>
      <c r="K60" s="101">
        <v>588.6</v>
      </c>
      <c r="L60" s="101"/>
      <c r="M60" s="101">
        <v>773.69</v>
      </c>
      <c r="N60" s="101"/>
      <c r="O60" s="101"/>
      <c r="P60" s="101"/>
      <c r="Q60" s="101">
        <f t="shared" si="3"/>
        <v>1362.29</v>
      </c>
    </row>
    <row r="61" spans="1:17" x14ac:dyDescent="0.3">
      <c r="A61" t="s">
        <v>373</v>
      </c>
      <c r="B61" s="31" t="s">
        <v>378</v>
      </c>
      <c r="C61" s="101">
        <f>157.5+115</f>
        <v>272.5</v>
      </c>
      <c r="D61" s="96">
        <f t="shared" si="2"/>
        <v>0</v>
      </c>
      <c r="E61" s="101"/>
      <c r="F61" s="101"/>
      <c r="G61" s="101"/>
      <c r="H61" s="101"/>
      <c r="I61" s="101"/>
      <c r="J61" s="101"/>
      <c r="K61" s="101"/>
      <c r="L61" s="101"/>
      <c r="M61" s="101"/>
      <c r="N61" s="101">
        <v>157.5</v>
      </c>
      <c r="O61" s="101"/>
      <c r="P61" s="101">
        <v>115</v>
      </c>
      <c r="Q61" s="101">
        <f t="shared" si="3"/>
        <v>272.5</v>
      </c>
    </row>
    <row r="63" spans="1:17" x14ac:dyDescent="0.3">
      <c r="C63" s="101">
        <f>SUM(C36:C62)</f>
        <v>93085.23</v>
      </c>
      <c r="D63" s="96">
        <f t="shared" si="2"/>
        <v>0</v>
      </c>
      <c r="E63" s="101">
        <f t="shared" ref="E63:Q63" si="4">SUM(E36:E62)</f>
        <v>8769.6200000000008</v>
      </c>
      <c r="F63" s="101">
        <f t="shared" si="4"/>
        <v>18292.330000000002</v>
      </c>
      <c r="G63" s="101">
        <f t="shared" si="4"/>
        <v>6618.08</v>
      </c>
      <c r="H63" s="101">
        <f t="shared" si="4"/>
        <v>9464.6899999999987</v>
      </c>
      <c r="I63" s="101">
        <f t="shared" si="4"/>
        <v>7431.8700000000008</v>
      </c>
      <c r="J63" s="101">
        <f t="shared" si="4"/>
        <v>6668.7400000000007</v>
      </c>
      <c r="K63" s="101">
        <f t="shared" si="4"/>
        <v>8330.9800000000014</v>
      </c>
      <c r="L63" s="101">
        <f t="shared" si="4"/>
        <v>6571.71</v>
      </c>
      <c r="M63" s="101">
        <f t="shared" si="4"/>
        <v>7032.49</v>
      </c>
      <c r="N63" s="101">
        <f t="shared" si="4"/>
        <v>7128.23</v>
      </c>
      <c r="O63" s="101">
        <f t="shared" si="4"/>
        <v>6609.14</v>
      </c>
      <c r="P63" s="101">
        <f t="shared" si="4"/>
        <v>3388.7999999999997</v>
      </c>
      <c r="Q63" s="101">
        <f t="shared" si="4"/>
        <v>93085.23</v>
      </c>
    </row>
    <row r="64" spans="1:17" x14ac:dyDescent="0.3">
      <c r="A64" t="s">
        <v>377</v>
      </c>
      <c r="C64" s="101">
        <f>C17</f>
        <v>-95670.370000000024</v>
      </c>
      <c r="E64" s="101">
        <v>-8769.6200000000008</v>
      </c>
      <c r="F64" s="101">
        <v>-18292.330000000002</v>
      </c>
      <c r="G64" s="101">
        <v>-6618.28</v>
      </c>
      <c r="H64" s="101">
        <v>-9464.69</v>
      </c>
      <c r="I64" s="101">
        <v>-7431.87</v>
      </c>
      <c r="J64" s="101">
        <v>-6668.74</v>
      </c>
      <c r="K64" s="101">
        <v>-8330.98</v>
      </c>
      <c r="L64" s="101">
        <v>-6571.71</v>
      </c>
      <c r="M64" s="101">
        <v>-7032.43</v>
      </c>
      <c r="N64" s="101">
        <v>-7128.23</v>
      </c>
      <c r="O64" s="101">
        <v>-6609.14</v>
      </c>
      <c r="P64" s="101">
        <v>-2752.35</v>
      </c>
      <c r="Q64" s="101">
        <f>SUM(E64:P64)</f>
        <v>-95670.370000000024</v>
      </c>
    </row>
    <row r="65" spans="1:19" x14ac:dyDescent="0.3">
      <c r="A65" t="s">
        <v>375</v>
      </c>
      <c r="C65" s="101">
        <f t="shared" ref="C65" si="5">SUM(C63:C64)</f>
        <v>-2585.1400000000285</v>
      </c>
      <c r="E65" s="101">
        <f>SUM(E63:E64)</f>
        <v>0</v>
      </c>
      <c r="F65" s="101">
        <f t="shared" ref="F65:P65" si="6">SUM(F63:F64)</f>
        <v>0</v>
      </c>
      <c r="G65" s="101">
        <f t="shared" si="6"/>
        <v>-0.1999999999998181</v>
      </c>
      <c r="H65" s="101">
        <f t="shared" si="6"/>
        <v>0</v>
      </c>
      <c r="I65" s="101">
        <f t="shared" si="6"/>
        <v>0</v>
      </c>
      <c r="J65" s="101">
        <f t="shared" si="6"/>
        <v>0</v>
      </c>
      <c r="K65" s="101">
        <f t="shared" si="6"/>
        <v>0</v>
      </c>
      <c r="L65" s="101">
        <f t="shared" si="6"/>
        <v>0</v>
      </c>
      <c r="M65" s="101">
        <f t="shared" si="6"/>
        <v>5.9999999999490683E-2</v>
      </c>
      <c r="N65" s="101">
        <f t="shared" si="6"/>
        <v>0</v>
      </c>
      <c r="O65" s="101">
        <f t="shared" si="6"/>
        <v>0</v>
      </c>
      <c r="P65" s="101">
        <f t="shared" si="6"/>
        <v>636.44999999999982</v>
      </c>
    </row>
    <row r="67" spans="1:19" x14ac:dyDescent="0.3">
      <c r="E67" t="s">
        <v>303</v>
      </c>
      <c r="F67" t="s">
        <v>304</v>
      </c>
      <c r="G67" t="s">
        <v>305</v>
      </c>
      <c r="H67" t="s">
        <v>306</v>
      </c>
      <c r="I67" t="s">
        <v>307</v>
      </c>
      <c r="J67" t="s">
        <v>308</v>
      </c>
      <c r="K67" t="s">
        <v>309</v>
      </c>
      <c r="L67" t="s">
        <v>310</v>
      </c>
      <c r="M67" t="s">
        <v>311</v>
      </c>
      <c r="N67" t="s">
        <v>312</v>
      </c>
      <c r="O67" t="s">
        <v>313</v>
      </c>
      <c r="P67" t="s">
        <v>314</v>
      </c>
      <c r="Q67" t="s">
        <v>25</v>
      </c>
    </row>
    <row r="68" spans="1:19" x14ac:dyDescent="0.3">
      <c r="A68" s="14" t="s">
        <v>350</v>
      </c>
    </row>
    <row r="69" spans="1:19" x14ac:dyDescent="0.3">
      <c r="A69" s="85" t="s">
        <v>230</v>
      </c>
      <c r="C69" s="101">
        <v>1191</v>
      </c>
      <c r="E69" s="101"/>
      <c r="F69" s="101"/>
      <c r="G69" s="101">
        <v>19.03</v>
      </c>
      <c r="H69" s="101"/>
      <c r="I69" s="101">
        <v>414.57</v>
      </c>
      <c r="J69" s="101">
        <v>203.99</v>
      </c>
      <c r="K69" s="101">
        <v>280.70999999999998</v>
      </c>
      <c r="L69" s="101">
        <v>17.22</v>
      </c>
      <c r="M69" s="101"/>
      <c r="N69" s="101">
        <v>96.01</v>
      </c>
      <c r="O69" s="101"/>
      <c r="P69" s="101">
        <v>60</v>
      </c>
      <c r="Q69" s="101">
        <f t="shared" ref="Q69:Q80" si="7">SUM(E69:P69)</f>
        <v>1091.53</v>
      </c>
    </row>
    <row r="70" spans="1:19" x14ac:dyDescent="0.3">
      <c r="A70" s="85" t="s">
        <v>34</v>
      </c>
      <c r="C70" s="101">
        <v>225</v>
      </c>
      <c r="E70" s="101"/>
      <c r="F70" s="101"/>
      <c r="G70" s="101">
        <v>79.59</v>
      </c>
      <c r="H70" s="101"/>
      <c r="I70" s="101"/>
      <c r="J70" s="101">
        <v>49.96</v>
      </c>
      <c r="K70" s="101"/>
      <c r="L70" s="101"/>
      <c r="M70" s="101">
        <v>49.1</v>
      </c>
      <c r="N70" s="101"/>
      <c r="O70" s="101"/>
      <c r="P70" s="101">
        <v>45.69</v>
      </c>
      <c r="Q70" s="101">
        <f t="shared" si="7"/>
        <v>224.34</v>
      </c>
    </row>
    <row r="71" spans="1:19" x14ac:dyDescent="0.3">
      <c r="A71" s="85" t="s">
        <v>35</v>
      </c>
      <c r="C71" s="101"/>
      <c r="E71" s="101"/>
      <c r="F71" s="101"/>
      <c r="G71" s="101"/>
      <c r="H71" s="101"/>
      <c r="I71" s="101"/>
      <c r="J71" s="101"/>
      <c r="K71" s="101"/>
      <c r="L71" s="101"/>
      <c r="M71" s="101"/>
      <c r="N71" s="101"/>
      <c r="O71" s="101"/>
      <c r="P71" s="101"/>
      <c r="Q71" s="101">
        <f t="shared" si="7"/>
        <v>0</v>
      </c>
    </row>
    <row r="72" spans="1:19" x14ac:dyDescent="0.3">
      <c r="A72" s="85" t="s">
        <v>231</v>
      </c>
      <c r="C72" s="101">
        <v>600</v>
      </c>
      <c r="E72" s="101"/>
      <c r="F72" s="101"/>
      <c r="G72" s="101"/>
      <c r="H72" s="101">
        <v>100</v>
      </c>
      <c r="I72" s="101">
        <v>200</v>
      </c>
      <c r="J72" s="101"/>
      <c r="K72" s="101">
        <v>100</v>
      </c>
      <c r="L72" s="101"/>
      <c r="M72" s="101">
        <v>100</v>
      </c>
      <c r="N72" s="101">
        <v>100</v>
      </c>
      <c r="O72" s="101"/>
      <c r="P72" s="101"/>
      <c r="Q72" s="101">
        <f t="shared" si="7"/>
        <v>600</v>
      </c>
    </row>
    <row r="73" spans="1:19" x14ac:dyDescent="0.3">
      <c r="A73" s="85" t="s">
        <v>36</v>
      </c>
      <c r="C73" s="101">
        <v>16319</v>
      </c>
      <c r="E73" s="101">
        <v>1353</v>
      </c>
      <c r="F73" s="101">
        <v>1396</v>
      </c>
      <c r="G73" s="101">
        <v>1375.24</v>
      </c>
      <c r="H73" s="101">
        <v>1496</v>
      </c>
      <c r="I73" s="101">
        <v>1496</v>
      </c>
      <c r="J73" s="101">
        <v>1487.6</v>
      </c>
      <c r="K73" s="101">
        <v>1496</v>
      </c>
      <c r="L73" s="101">
        <v>1396</v>
      </c>
      <c r="M73" s="101">
        <v>1381</v>
      </c>
      <c r="N73" s="101">
        <v>1496</v>
      </c>
      <c r="O73" s="101">
        <v>530</v>
      </c>
      <c r="P73" s="101">
        <v>1416</v>
      </c>
      <c r="Q73" s="101">
        <f t="shared" si="7"/>
        <v>16318.84</v>
      </c>
    </row>
    <row r="74" spans="1:19" x14ac:dyDescent="0.3">
      <c r="A74" s="85" t="s">
        <v>232</v>
      </c>
      <c r="C74" s="101"/>
      <c r="E74" s="101"/>
      <c r="F74" s="101"/>
      <c r="G74" s="101"/>
      <c r="H74" s="101"/>
      <c r="I74" s="101"/>
      <c r="J74" s="101"/>
      <c r="K74" s="101"/>
      <c r="L74" s="101"/>
      <c r="M74" s="101"/>
      <c r="N74" s="101"/>
      <c r="O74" s="101"/>
      <c r="P74" s="101"/>
      <c r="Q74" s="101">
        <f t="shared" si="7"/>
        <v>0</v>
      </c>
    </row>
    <row r="75" spans="1:19" x14ac:dyDescent="0.3">
      <c r="A75" s="85" t="s">
        <v>226</v>
      </c>
      <c r="C75" s="101">
        <v>427</v>
      </c>
      <c r="E75" s="101"/>
      <c r="F75" s="101"/>
      <c r="G75" s="101">
        <v>87</v>
      </c>
      <c r="H75" s="101"/>
      <c r="I75" s="101">
        <v>100</v>
      </c>
      <c r="J75" s="101">
        <v>100</v>
      </c>
      <c r="K75" s="101"/>
      <c r="L75" s="101"/>
      <c r="M75" s="101"/>
      <c r="N75" s="101"/>
      <c r="O75" s="101"/>
      <c r="P75" s="101">
        <v>140</v>
      </c>
      <c r="Q75" s="101">
        <f t="shared" si="7"/>
        <v>427</v>
      </c>
    </row>
    <row r="76" spans="1:19" x14ac:dyDescent="0.3">
      <c r="A76" s="85" t="s">
        <v>385</v>
      </c>
      <c r="C76" s="101"/>
      <c r="E76" s="101">
        <v>100</v>
      </c>
      <c r="F76" s="101">
        <v>100</v>
      </c>
      <c r="G76" s="101">
        <v>100</v>
      </c>
      <c r="H76" s="101">
        <v>100</v>
      </c>
      <c r="I76" s="101">
        <v>100</v>
      </c>
      <c r="J76" s="101">
        <v>100</v>
      </c>
      <c r="K76" s="101">
        <v>100</v>
      </c>
      <c r="L76" s="101">
        <v>100</v>
      </c>
      <c r="M76" s="101">
        <v>100</v>
      </c>
      <c r="N76" s="101">
        <v>100</v>
      </c>
      <c r="O76" s="101">
        <v>100</v>
      </c>
      <c r="P76" s="101">
        <v>100</v>
      </c>
      <c r="Q76" s="101">
        <f t="shared" si="7"/>
        <v>1200</v>
      </c>
    </row>
    <row r="77" spans="1:19" x14ac:dyDescent="0.3">
      <c r="A77" s="85" t="s">
        <v>384</v>
      </c>
      <c r="C77" s="101"/>
      <c r="E77" s="101"/>
      <c r="F77" s="101">
        <v>600</v>
      </c>
      <c r="G77" s="101">
        <v>50</v>
      </c>
      <c r="H77" s="101">
        <v>40</v>
      </c>
      <c r="I77" s="101"/>
      <c r="J77" s="101"/>
      <c r="K77" s="101"/>
      <c r="L77" s="101"/>
      <c r="M77" s="101"/>
      <c r="N77" s="101"/>
      <c r="O77" s="101"/>
      <c r="P77" s="101">
        <f>100+30</f>
        <v>130</v>
      </c>
      <c r="Q77" s="101">
        <f t="shared" si="7"/>
        <v>820</v>
      </c>
    </row>
    <row r="78" spans="1:19" x14ac:dyDescent="0.3">
      <c r="A78" s="85" t="s">
        <v>398</v>
      </c>
      <c r="C78" s="101"/>
      <c r="E78" s="101"/>
      <c r="F78" s="101">
        <v>300</v>
      </c>
      <c r="G78" s="101">
        <v>760</v>
      </c>
      <c r="H78" s="101">
        <v>540</v>
      </c>
      <c r="I78" s="101">
        <v>730</v>
      </c>
      <c r="J78" s="101"/>
      <c r="K78" s="101"/>
      <c r="L78" s="101"/>
      <c r="M78" s="101"/>
      <c r="N78" s="101"/>
      <c r="O78" s="101"/>
      <c r="P78" s="101">
        <f>330+20</f>
        <v>350</v>
      </c>
      <c r="Q78" s="101"/>
      <c r="R78" s="101">
        <f>SUM(E78:P78)</f>
        <v>2680</v>
      </c>
      <c r="S78" s="96">
        <f>R78+R79</f>
        <v>3221.45</v>
      </c>
    </row>
    <row r="79" spans="1:19" x14ac:dyDescent="0.3">
      <c r="A79" s="85" t="s">
        <v>398</v>
      </c>
      <c r="C79" s="101"/>
      <c r="E79" s="101"/>
      <c r="F79" s="101">
        <v>250</v>
      </c>
      <c r="G79" s="101"/>
      <c r="H79" s="101"/>
      <c r="I79" s="101">
        <v>5</v>
      </c>
      <c r="J79" s="101"/>
      <c r="K79" s="101"/>
      <c r="L79" s="101"/>
      <c r="M79" s="101"/>
      <c r="N79" s="101"/>
      <c r="O79" s="101"/>
      <c r="P79" s="101">
        <v>286.45</v>
      </c>
      <c r="Q79" s="101"/>
      <c r="R79" s="101">
        <f>SUM(E79:P79)</f>
        <v>541.45000000000005</v>
      </c>
    </row>
    <row r="80" spans="1:19" x14ac:dyDescent="0.3">
      <c r="A80" s="85" t="s">
        <v>386</v>
      </c>
      <c r="E80" s="101"/>
      <c r="F80" s="101"/>
      <c r="G80" s="101"/>
      <c r="H80" s="101"/>
      <c r="I80" s="101">
        <v>151.99</v>
      </c>
      <c r="J80" s="101"/>
      <c r="K80" s="101"/>
      <c r="L80" s="101"/>
      <c r="M80" s="101"/>
      <c r="N80" s="101">
        <v>17.5</v>
      </c>
      <c r="O80" s="101">
        <v>21.76</v>
      </c>
      <c r="P80" s="101"/>
      <c r="Q80" s="101">
        <f t="shared" si="7"/>
        <v>191.25</v>
      </c>
    </row>
    <row r="81" spans="1:17" x14ac:dyDescent="0.3">
      <c r="A81" s="85" t="s">
        <v>37</v>
      </c>
      <c r="E81" s="101"/>
      <c r="F81" s="101"/>
      <c r="G81" s="101"/>
      <c r="H81" s="101"/>
      <c r="I81" s="101"/>
      <c r="J81" s="101"/>
      <c r="K81" s="101"/>
      <c r="L81" s="101"/>
      <c r="M81" s="101"/>
      <c r="N81" s="101"/>
      <c r="O81" s="101"/>
      <c r="P81" s="101"/>
      <c r="Q81" s="101"/>
    </row>
    <row r="82" spans="1:17" ht="15" customHeight="1" x14ac:dyDescent="0.3">
      <c r="E82" s="101"/>
      <c r="F82" s="101"/>
      <c r="G82" s="101"/>
      <c r="H82" s="101"/>
      <c r="I82" s="101"/>
      <c r="J82" s="101"/>
      <c r="K82" s="101"/>
      <c r="L82" s="101"/>
      <c r="M82" s="101"/>
      <c r="N82" s="101"/>
      <c r="O82" s="101"/>
      <c r="P82" s="101"/>
      <c r="Q82" s="101"/>
    </row>
    <row r="83" spans="1:17" ht="15" customHeight="1" x14ac:dyDescent="0.3">
      <c r="A83" s="85" t="s">
        <v>388</v>
      </c>
      <c r="E83" s="101">
        <f>SUM(E69:E82)</f>
        <v>1453</v>
      </c>
      <c r="F83" s="101">
        <f t="shared" ref="F83:Q83" si="8">SUM(F69:F82)</f>
        <v>2646</v>
      </c>
      <c r="G83" s="101">
        <f t="shared" si="8"/>
        <v>2470.86</v>
      </c>
      <c r="H83" s="101">
        <f t="shared" si="8"/>
        <v>2276</v>
      </c>
      <c r="I83" s="101">
        <f t="shared" si="8"/>
        <v>3197.5599999999995</v>
      </c>
      <c r="J83" s="101">
        <f t="shared" si="8"/>
        <v>1941.55</v>
      </c>
      <c r="K83" s="101">
        <f t="shared" si="8"/>
        <v>1976.71</v>
      </c>
      <c r="L83" s="101">
        <f t="shared" si="8"/>
        <v>1513.22</v>
      </c>
      <c r="M83" s="101">
        <f t="shared" si="8"/>
        <v>1630.1</v>
      </c>
      <c r="N83" s="101">
        <f t="shared" si="8"/>
        <v>1809.51</v>
      </c>
      <c r="O83" s="101">
        <f t="shared" si="8"/>
        <v>651.76</v>
      </c>
      <c r="P83" s="101">
        <f t="shared" si="8"/>
        <v>2528.14</v>
      </c>
      <c r="Q83" s="101">
        <f t="shared" si="8"/>
        <v>20872.96</v>
      </c>
    </row>
    <row r="84" spans="1:17" ht="15" customHeight="1" x14ac:dyDescent="0.3">
      <c r="A84" s="85" t="s">
        <v>387</v>
      </c>
      <c r="E84" s="101">
        <f>E86-E83</f>
        <v>7435.0599999999995</v>
      </c>
      <c r="F84" s="101">
        <f t="shared" ref="F84:Q84" si="9">F86-F83</f>
        <v>4698.07</v>
      </c>
      <c r="G84" s="101">
        <f t="shared" si="9"/>
        <v>4515.2899999999991</v>
      </c>
      <c r="H84" s="101">
        <f t="shared" si="9"/>
        <v>4399.91</v>
      </c>
      <c r="I84" s="101">
        <f t="shared" si="9"/>
        <v>7019.130000000001</v>
      </c>
      <c r="J84" s="101">
        <f t="shared" si="9"/>
        <v>4232</v>
      </c>
      <c r="K84" s="101">
        <f t="shared" si="9"/>
        <v>7522.8</v>
      </c>
      <c r="L84" s="101">
        <f t="shared" si="9"/>
        <v>3545.8</v>
      </c>
      <c r="M84" s="101">
        <f t="shared" si="9"/>
        <v>5211.58</v>
      </c>
      <c r="N84" s="101">
        <f t="shared" si="9"/>
        <v>7394.5</v>
      </c>
      <c r="O84" s="101">
        <f t="shared" si="9"/>
        <v>2172</v>
      </c>
      <c r="P84" s="101">
        <f t="shared" si="9"/>
        <v>7778.59</v>
      </c>
      <c r="Q84" s="101">
        <f t="shared" si="9"/>
        <v>69146.179999999993</v>
      </c>
    </row>
    <row r="85" spans="1:17" x14ac:dyDescent="0.3">
      <c r="E85" s="101"/>
      <c r="F85" s="101"/>
      <c r="G85" s="101"/>
      <c r="H85" s="101"/>
      <c r="I85" s="101"/>
      <c r="J85" s="101"/>
      <c r="K85" s="101"/>
      <c r="L85" s="101"/>
      <c r="M85" s="101"/>
      <c r="N85" s="101"/>
      <c r="O85" s="101"/>
      <c r="P85" s="101"/>
      <c r="Q85" s="101"/>
    </row>
    <row r="86" spans="1:17" x14ac:dyDescent="0.3">
      <c r="A86" t="s">
        <v>377</v>
      </c>
      <c r="E86" s="101">
        <v>8888.06</v>
      </c>
      <c r="F86" s="101">
        <v>7344.07</v>
      </c>
      <c r="G86" s="101">
        <v>6986.15</v>
      </c>
      <c r="H86" s="101">
        <v>6675.91</v>
      </c>
      <c r="I86" s="101">
        <v>10216.69</v>
      </c>
      <c r="J86" s="101">
        <v>6173.55</v>
      </c>
      <c r="K86" s="101">
        <v>9499.51</v>
      </c>
      <c r="L86" s="101">
        <v>5059.0200000000004</v>
      </c>
      <c r="M86" s="101">
        <v>6841.68</v>
      </c>
      <c r="N86" s="101">
        <v>9204.01</v>
      </c>
      <c r="O86" s="101">
        <v>2823.76</v>
      </c>
      <c r="P86" s="101">
        <v>10306.73</v>
      </c>
      <c r="Q86" s="101">
        <f>SUM(E86:P86)</f>
        <v>90019.14</v>
      </c>
    </row>
    <row r="88" spans="1:17" x14ac:dyDescent="0.3">
      <c r="E88" s="101">
        <f>-E78-E79</f>
        <v>0</v>
      </c>
      <c r="F88" s="101">
        <f t="shared" ref="F88:P88" si="10">-F78-F79</f>
        <v>-550</v>
      </c>
      <c r="G88" s="101">
        <f t="shared" si="10"/>
        <v>-760</v>
      </c>
      <c r="H88" s="101">
        <f t="shared" si="10"/>
        <v>-540</v>
      </c>
      <c r="I88" s="101">
        <f t="shared" si="10"/>
        <v>-735</v>
      </c>
      <c r="J88" s="101">
        <f t="shared" si="10"/>
        <v>0</v>
      </c>
      <c r="K88" s="101">
        <f t="shared" si="10"/>
        <v>0</v>
      </c>
      <c r="L88" s="101">
        <f t="shared" si="10"/>
        <v>0</v>
      </c>
      <c r="M88" s="101">
        <f t="shared" si="10"/>
        <v>0</v>
      </c>
      <c r="N88" s="101">
        <f t="shared" si="10"/>
        <v>0</v>
      </c>
      <c r="O88" s="101">
        <f t="shared" si="10"/>
        <v>0</v>
      </c>
      <c r="P88" s="101">
        <f t="shared" si="10"/>
        <v>-636.45000000000005</v>
      </c>
      <c r="Q88" s="101">
        <f>SUM(E88:P88)</f>
        <v>-3221.45</v>
      </c>
    </row>
    <row r="90" spans="1:17" x14ac:dyDescent="0.3">
      <c r="Q90" s="101">
        <f>SUM(Q86:Q89)</f>
        <v>86797.69</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06F7-0170-4E21-B69C-80D3EC198612}">
  <dimension ref="A1:D15"/>
  <sheetViews>
    <sheetView workbookViewId="0">
      <selection sqref="A1:D16"/>
    </sheetView>
  </sheetViews>
  <sheetFormatPr defaultRowHeight="14.4" x14ac:dyDescent="0.3"/>
  <sheetData>
    <row r="1" spans="1:4" x14ac:dyDescent="0.3">
      <c r="A1" t="s">
        <v>301</v>
      </c>
    </row>
    <row r="3" spans="1:4" x14ac:dyDescent="0.3">
      <c r="A3" t="s">
        <v>302</v>
      </c>
      <c r="B3" s="101"/>
      <c r="C3" s="101"/>
      <c r="D3" s="102">
        <v>28792.17</v>
      </c>
    </row>
    <row r="4" spans="1:4" x14ac:dyDescent="0.3">
      <c r="A4" t="s">
        <v>303</v>
      </c>
      <c r="B4" s="102">
        <v>8888.06</v>
      </c>
      <c r="C4" s="102">
        <v>-8769.6200000000008</v>
      </c>
      <c r="D4" s="102">
        <f>D3+B4+C4</f>
        <v>28910.609999999993</v>
      </c>
    </row>
    <row r="5" spans="1:4" x14ac:dyDescent="0.3">
      <c r="A5" t="s">
        <v>304</v>
      </c>
      <c r="B5" s="102">
        <v>7344.07</v>
      </c>
      <c r="C5" s="102">
        <v>-18292.330000000002</v>
      </c>
      <c r="D5" s="102">
        <f>D4+B5+C5</f>
        <v>17962.349999999991</v>
      </c>
    </row>
    <row r="6" spans="1:4" x14ac:dyDescent="0.3">
      <c r="A6" t="s">
        <v>305</v>
      </c>
      <c r="B6" s="102">
        <v>6986.15</v>
      </c>
      <c r="C6" s="102">
        <v>-6618.28</v>
      </c>
      <c r="D6" s="102">
        <f t="shared" ref="D6:D15" si="0">D5+B6+C6</f>
        <v>18330.219999999994</v>
      </c>
    </row>
    <row r="7" spans="1:4" x14ac:dyDescent="0.3">
      <c r="A7" t="s">
        <v>306</v>
      </c>
      <c r="B7" s="102">
        <v>6675.91</v>
      </c>
      <c r="C7" s="102">
        <v>-9464.69</v>
      </c>
      <c r="D7" s="102">
        <f t="shared" si="0"/>
        <v>15541.439999999993</v>
      </c>
    </row>
    <row r="8" spans="1:4" x14ac:dyDescent="0.3">
      <c r="A8" t="s">
        <v>307</v>
      </c>
      <c r="B8" s="102">
        <v>10216.69</v>
      </c>
      <c r="C8" s="102">
        <v>-7431.87</v>
      </c>
      <c r="D8" s="102">
        <f t="shared" si="0"/>
        <v>18326.259999999995</v>
      </c>
    </row>
    <row r="9" spans="1:4" x14ac:dyDescent="0.3">
      <c r="A9" t="s">
        <v>308</v>
      </c>
      <c r="B9" s="102">
        <v>6173.55</v>
      </c>
      <c r="C9" s="102">
        <v>-6668.74</v>
      </c>
      <c r="D9" s="102">
        <f t="shared" si="0"/>
        <v>17831.069999999992</v>
      </c>
    </row>
    <row r="10" spans="1:4" x14ac:dyDescent="0.3">
      <c r="A10" t="s">
        <v>309</v>
      </c>
      <c r="B10" s="102">
        <v>9499.51</v>
      </c>
      <c r="C10" s="102">
        <v>-8330.98</v>
      </c>
      <c r="D10" s="102">
        <f t="shared" si="0"/>
        <v>18999.599999999995</v>
      </c>
    </row>
    <row r="11" spans="1:4" x14ac:dyDescent="0.3">
      <c r="A11" t="s">
        <v>310</v>
      </c>
      <c r="B11" s="102">
        <v>5059.0200000000004</v>
      </c>
      <c r="C11" s="102">
        <v>-6571.71</v>
      </c>
      <c r="D11" s="102">
        <f t="shared" si="0"/>
        <v>17486.909999999996</v>
      </c>
    </row>
    <row r="12" spans="1:4" x14ac:dyDescent="0.3">
      <c r="A12" t="s">
        <v>311</v>
      </c>
      <c r="B12" s="102">
        <v>6841.68</v>
      </c>
      <c r="C12" s="102">
        <v>-7032.43</v>
      </c>
      <c r="D12" s="102">
        <f t="shared" si="0"/>
        <v>17296.159999999996</v>
      </c>
    </row>
    <row r="13" spans="1:4" x14ac:dyDescent="0.3">
      <c r="A13" t="s">
        <v>312</v>
      </c>
      <c r="B13" s="102">
        <v>9204.01</v>
      </c>
      <c r="C13" s="102">
        <v>-7128.23</v>
      </c>
      <c r="D13" s="102">
        <f t="shared" si="0"/>
        <v>19371.939999999999</v>
      </c>
    </row>
    <row r="14" spans="1:4" x14ac:dyDescent="0.3">
      <c r="A14" t="s">
        <v>313</v>
      </c>
      <c r="B14" s="102">
        <v>2823.76</v>
      </c>
      <c r="C14" s="102">
        <v>-6609.14</v>
      </c>
      <c r="D14" s="102">
        <f t="shared" si="0"/>
        <v>15586.559999999998</v>
      </c>
    </row>
    <row r="15" spans="1:4" x14ac:dyDescent="0.3">
      <c r="A15" t="s">
        <v>314</v>
      </c>
      <c r="B15" s="102">
        <v>10306.73</v>
      </c>
      <c r="C15" s="102">
        <v>-2752.35</v>
      </c>
      <c r="D15" s="102">
        <f t="shared" si="0"/>
        <v>23140.94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4"/>
  <sheetViews>
    <sheetView workbookViewId="0">
      <selection activeCell="A2" sqref="A2"/>
    </sheetView>
  </sheetViews>
  <sheetFormatPr defaultRowHeight="14.4" x14ac:dyDescent="0.3"/>
  <cols>
    <col min="7" max="7" width="11.33203125" bestFit="1" customWidth="1"/>
    <col min="9" max="9" width="11.33203125" bestFit="1" customWidth="1"/>
  </cols>
  <sheetData>
    <row r="1" spans="1:11" ht="17.399999999999999" x14ac:dyDescent="0.3">
      <c r="A1" s="21" t="str">
        <f>'cover and guidance'!$A$9</f>
        <v>Kilsyth Anderson Church of Scotland</v>
      </c>
    </row>
    <row r="2" spans="1:11" ht="15.6" x14ac:dyDescent="0.3">
      <c r="A2" s="10" t="str">
        <f>CONCATENATE("Year ended 31 December ",'R&amp;P Account'!$D$8)</f>
        <v>Year ended 31 December 2025</v>
      </c>
    </row>
    <row r="3" spans="1:11" ht="15.6" x14ac:dyDescent="0.3">
      <c r="A3" s="10" t="s">
        <v>87</v>
      </c>
      <c r="B3" s="2"/>
      <c r="C3" s="2"/>
      <c r="D3" s="2"/>
      <c r="E3" s="2"/>
      <c r="F3" s="2"/>
      <c r="G3" s="2"/>
      <c r="H3" s="2"/>
      <c r="I3" s="2"/>
      <c r="J3" s="2"/>
      <c r="K3" s="2"/>
    </row>
    <row r="4" spans="1:11" ht="15.6" x14ac:dyDescent="0.3">
      <c r="A4" s="2"/>
      <c r="B4" s="2"/>
      <c r="C4" s="2"/>
      <c r="D4" s="2"/>
      <c r="E4" s="2"/>
      <c r="F4" s="2"/>
      <c r="G4" s="2"/>
      <c r="H4" s="2"/>
      <c r="I4" s="2"/>
      <c r="J4" s="2"/>
      <c r="K4" s="2"/>
    </row>
    <row r="5" spans="1:11" ht="18" x14ac:dyDescent="0.35">
      <c r="A5" s="22" t="s">
        <v>88</v>
      </c>
      <c r="B5" s="10"/>
      <c r="C5" s="10"/>
      <c r="D5" s="10"/>
      <c r="E5" s="10"/>
      <c r="F5" s="10"/>
      <c r="G5" s="10"/>
      <c r="H5" s="2"/>
      <c r="I5" s="2"/>
      <c r="J5" s="2"/>
      <c r="K5" s="2"/>
    </row>
    <row r="6" spans="1:11" ht="18" x14ac:dyDescent="0.35">
      <c r="A6" s="22" t="s">
        <v>89</v>
      </c>
      <c r="B6" s="10"/>
      <c r="C6" s="10"/>
      <c r="D6" s="10"/>
      <c r="E6" s="10"/>
      <c r="F6" s="10"/>
      <c r="G6" s="10"/>
      <c r="H6" s="2"/>
      <c r="I6" s="2"/>
      <c r="J6" s="2"/>
      <c r="K6" s="2"/>
    </row>
    <row r="7" spans="1:11" ht="15.6" x14ac:dyDescent="0.3">
      <c r="A7" s="2"/>
      <c r="B7" s="2"/>
      <c r="C7" s="2"/>
      <c r="D7" s="2"/>
      <c r="E7" s="2"/>
      <c r="F7" s="2"/>
      <c r="G7" s="2"/>
      <c r="H7" s="2"/>
      <c r="I7" s="2"/>
      <c r="J7" s="2"/>
      <c r="K7" s="2"/>
    </row>
    <row r="8" spans="1:11" ht="15.6" x14ac:dyDescent="0.3">
      <c r="A8" s="2"/>
      <c r="B8" s="2"/>
      <c r="C8" s="2"/>
      <c r="D8" s="2"/>
      <c r="E8" s="2"/>
      <c r="F8" s="2"/>
      <c r="G8" s="2"/>
      <c r="H8" s="2"/>
      <c r="I8" s="2"/>
      <c r="J8" s="2"/>
      <c r="K8" s="2"/>
    </row>
    <row r="9" spans="1:11" ht="15.6" x14ac:dyDescent="0.3">
      <c r="A9" s="2"/>
      <c r="B9" s="2"/>
      <c r="C9" s="2"/>
      <c r="D9" s="2"/>
      <c r="E9" s="2"/>
      <c r="F9" s="2"/>
      <c r="G9" s="17">
        <f>'R&amp;P Account'!$D$8</f>
        <v>2025</v>
      </c>
      <c r="H9" s="76"/>
      <c r="I9" s="25">
        <f>'R&amp;P Account'!$D$8-1</f>
        <v>2024</v>
      </c>
      <c r="J9" s="2"/>
      <c r="K9" s="2"/>
    </row>
    <row r="10" spans="1:11" ht="15.6" x14ac:dyDescent="0.3">
      <c r="A10" s="2"/>
      <c r="B10" s="2"/>
      <c r="C10" s="2"/>
      <c r="D10" s="2"/>
      <c r="E10" s="2"/>
      <c r="F10" s="2"/>
      <c r="G10" s="25" t="s">
        <v>103</v>
      </c>
      <c r="H10" s="76"/>
      <c r="I10" s="25" t="s">
        <v>103</v>
      </c>
      <c r="J10" s="2"/>
      <c r="K10" s="2"/>
    </row>
    <row r="11" spans="1:11" ht="15.6" x14ac:dyDescent="0.3">
      <c r="A11" s="2"/>
      <c r="B11" s="2"/>
      <c r="C11" s="2"/>
      <c r="D11" s="2"/>
      <c r="E11" s="2"/>
      <c r="F11" s="2"/>
      <c r="G11" s="2"/>
      <c r="H11" s="2"/>
      <c r="I11" s="2"/>
      <c r="J11" s="2"/>
      <c r="K11" s="2"/>
    </row>
    <row r="12" spans="1:11" ht="15.6" x14ac:dyDescent="0.3">
      <c r="A12" s="20" t="s">
        <v>90</v>
      </c>
      <c r="B12" s="2"/>
      <c r="C12" s="2"/>
      <c r="D12" s="2"/>
      <c r="E12" s="2"/>
      <c r="F12" s="2"/>
      <c r="G12" s="2"/>
      <c r="H12" s="2"/>
      <c r="I12" s="2"/>
      <c r="J12" s="2"/>
      <c r="K12" s="2"/>
    </row>
    <row r="13" spans="1:11" ht="15.6" x14ac:dyDescent="0.3">
      <c r="A13" s="2"/>
      <c r="B13" s="2"/>
      <c r="C13" s="2"/>
      <c r="D13" s="2"/>
      <c r="E13" s="2"/>
      <c r="F13" s="2"/>
      <c r="G13" s="2"/>
      <c r="H13" s="2"/>
      <c r="I13" s="2"/>
      <c r="J13" s="2"/>
      <c r="K13" s="2"/>
    </row>
    <row r="14" spans="1:11" ht="16.2" thickBot="1" x14ac:dyDescent="0.35">
      <c r="A14" t="s">
        <v>91</v>
      </c>
      <c r="B14" s="2"/>
      <c r="C14" s="2"/>
      <c r="D14" s="2"/>
      <c r="E14" s="2"/>
      <c r="F14" s="2"/>
      <c r="G14" s="79">
        <v>0</v>
      </c>
      <c r="H14" s="2"/>
      <c r="I14" s="79">
        <v>0</v>
      </c>
      <c r="J14" s="2"/>
      <c r="K14" s="2"/>
    </row>
    <row r="15" spans="1:11" ht="16.2" thickTop="1" x14ac:dyDescent="0.3">
      <c r="A15" s="2"/>
      <c r="B15" s="2"/>
      <c r="C15" s="2"/>
      <c r="D15" s="2"/>
      <c r="E15" s="2"/>
      <c r="F15" s="2"/>
      <c r="G15" s="2"/>
      <c r="H15" s="2"/>
      <c r="I15" s="2"/>
      <c r="J15" s="2"/>
      <c r="K15" s="2"/>
    </row>
    <row r="16" spans="1:11" ht="15.6" x14ac:dyDescent="0.3">
      <c r="A16" s="2"/>
      <c r="B16" s="2"/>
      <c r="C16" s="2"/>
      <c r="D16" s="2"/>
      <c r="E16" s="2"/>
      <c r="F16" s="2"/>
      <c r="G16" s="2"/>
      <c r="H16" s="2"/>
      <c r="I16" s="2"/>
      <c r="J16" s="2"/>
      <c r="K16" s="2"/>
    </row>
    <row r="17" spans="1:11" ht="16.2" thickBot="1" x14ac:dyDescent="0.35">
      <c r="A17" t="s">
        <v>92</v>
      </c>
      <c r="B17" s="2"/>
      <c r="C17" s="2"/>
      <c r="D17" s="2"/>
      <c r="E17" s="2"/>
      <c r="F17" s="2"/>
      <c r="G17" s="79">
        <v>0</v>
      </c>
      <c r="H17" s="2"/>
      <c r="I17" s="79">
        <v>0</v>
      </c>
      <c r="J17" s="2"/>
      <c r="K17" s="2"/>
    </row>
    <row r="18" spans="1:11" ht="16.2" thickTop="1" x14ac:dyDescent="0.3">
      <c r="A18" s="2"/>
      <c r="B18" s="2"/>
      <c r="C18" s="2"/>
      <c r="D18" s="2"/>
      <c r="E18" s="2"/>
      <c r="F18" s="2"/>
      <c r="G18" s="2"/>
      <c r="H18" s="2"/>
      <c r="I18" s="2"/>
      <c r="J18" s="2"/>
      <c r="K18" s="2"/>
    </row>
    <row r="19" spans="1:11" ht="15.6" x14ac:dyDescent="0.3">
      <c r="A19" s="2"/>
      <c r="B19" s="2"/>
      <c r="C19" s="2"/>
      <c r="D19" s="2"/>
      <c r="E19" s="2"/>
      <c r="F19" s="2"/>
      <c r="G19" s="2"/>
      <c r="H19" s="2"/>
      <c r="I19" s="2"/>
      <c r="J19" s="2"/>
      <c r="K19" s="2"/>
    </row>
    <row r="20" spans="1:11" ht="15.6" x14ac:dyDescent="0.3">
      <c r="A20" s="2"/>
      <c r="B20" s="2"/>
      <c r="C20" s="2"/>
      <c r="D20" s="2"/>
      <c r="E20" s="2"/>
      <c r="F20" s="2"/>
      <c r="G20" s="2"/>
      <c r="H20" s="2"/>
      <c r="I20" s="2"/>
      <c r="J20" s="2"/>
      <c r="K20" s="2"/>
    </row>
    <row r="21" spans="1:11" ht="15.6" x14ac:dyDescent="0.3">
      <c r="A21" s="20" t="s">
        <v>93</v>
      </c>
      <c r="B21" s="2"/>
      <c r="C21" s="2"/>
      <c r="D21" s="2"/>
      <c r="E21" s="2"/>
      <c r="F21" s="2"/>
      <c r="G21" s="2"/>
      <c r="H21" s="2"/>
      <c r="I21" s="2"/>
      <c r="J21" s="2"/>
      <c r="K21" s="2"/>
    </row>
    <row r="22" spans="1:11" ht="15.6" x14ac:dyDescent="0.3">
      <c r="A22" s="2"/>
      <c r="B22" s="2"/>
      <c r="C22" s="2"/>
      <c r="D22" s="2"/>
      <c r="E22" s="2"/>
      <c r="F22" s="2"/>
      <c r="G22" s="2"/>
      <c r="H22" s="2"/>
      <c r="I22" s="2"/>
      <c r="J22" s="2"/>
      <c r="K22" s="2"/>
    </row>
    <row r="23" spans="1:11" ht="16.2" thickBot="1" x14ac:dyDescent="0.35">
      <c r="A23" t="s">
        <v>94</v>
      </c>
      <c r="B23" s="11"/>
      <c r="C23" s="11"/>
      <c r="G23" s="79">
        <v>0</v>
      </c>
      <c r="H23" s="2"/>
      <c r="I23" s="79">
        <v>0</v>
      </c>
    </row>
    <row r="24" spans="1:11" ht="15" thickTop="1" x14ac:dyDescent="0.3"/>
  </sheetData>
  <sheetProtection sheet="1" objects="1" scenarios="1"/>
  <pageMargins left="0.70866141732283472" right="0.70866141732283472" top="0.74803149606299213" bottom="0.74803149606299213" header="0.31496062992125984" footer="0.31496062992125984"/>
  <pageSetup paperSize="9" firstPageNumber="11" orientation="portrait" useFirstPageNumber="1" r:id="rId1"/>
  <headerFooter>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1B95D230-222E-40CB-A64C-D257E3A485A1}"/>
</file>

<file path=customXml/itemProps2.xml><?xml version="1.0" encoding="utf-8"?>
<ds:datastoreItem xmlns:ds="http://schemas.openxmlformats.org/officeDocument/2006/customXml" ds:itemID="{518787C4-EB62-468D-B30D-32A340F5B93E}"/>
</file>

<file path=customXml/itemProps3.xml><?xml version="1.0" encoding="utf-8"?>
<ds:datastoreItem xmlns:ds="http://schemas.openxmlformats.org/officeDocument/2006/customXml" ds:itemID="{7E9234B8-3CC3-4DDF-8593-0FD80F65FF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cover and guidance</vt:lpstr>
      <vt:lpstr>ref info</vt:lpstr>
      <vt:lpstr>Trustees Report</vt:lpstr>
      <vt:lpstr>Examiners Report</vt:lpstr>
      <vt:lpstr>R&amp;P Account</vt:lpstr>
      <vt:lpstr>Statement of Balances</vt:lpstr>
      <vt:lpstr>Notes to Accounts</vt:lpstr>
      <vt:lpstr>Bank</vt:lpstr>
      <vt:lpstr>Sheet1</vt:lpstr>
      <vt:lpstr>Appendix</vt:lpstr>
      <vt:lpstr>'cover and guidance'!Print_Area</vt:lpstr>
      <vt:lpstr>'Examiners Report'!Print_Area</vt:lpstr>
      <vt:lpstr>'Notes to Accounts'!Print_Area</vt:lpstr>
      <vt:lpstr>'R&amp;P Account'!Print_Area</vt:lpstr>
      <vt:lpstr>'ref info'!Print_Area</vt:lpstr>
      <vt:lpstr>'Statement of Balances'!Print_Area</vt:lpstr>
      <vt:lpstr>'Trustees Report'!Print_Area</vt:lpstr>
      <vt:lpstr>'Notes to Accounts'!Print_Titles</vt:lpstr>
      <vt:lpstr>'Trustees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Stuart2</dc:creator>
  <cp:lastModifiedBy>Robert Barclay</cp:lastModifiedBy>
  <cp:lastPrinted>2026-09-09T13:16:09Z</cp:lastPrinted>
  <dcterms:created xsi:type="dcterms:W3CDTF">2017-09-12T14:18:20Z</dcterms:created>
  <dcterms:modified xsi:type="dcterms:W3CDTF">2026-09-09T14:20:28Z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