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acvoaberdeencity.sharepoint.com/sites/ACVOSite/Admin/Accounts/Dyce and Stoneywood/2025/"/>
    </mc:Choice>
  </mc:AlternateContent>
  <xr:revisionPtr revIDLastSave="0" documentId="8_{878D84E3-7453-47C2-8A3E-0475581AA7EE}" xr6:coauthVersionLast="47" xr6:coauthVersionMax="47" xr10:uidLastSave="{00000000-0000-0000-0000-000000000000}"/>
  <bookViews>
    <workbookView xWindow="-28920" yWindow="1725" windowWidth="29040" windowHeight="15720" tabRatio="840" xr2:uid="{00000000-000D-0000-FFFF-FFFF00000000}"/>
  </bookViews>
  <sheets>
    <sheet name="R&amp;P Accounts" sheetId="2" r:id="rId1"/>
    <sheet name="Statement of balances" sheetId="3" r:id="rId2"/>
    <sheet name="Notes" sheetId="4" r:id="rId3"/>
    <sheet name="Additional notes (1)  " sheetId="5" r:id="rId4"/>
  </sheets>
  <definedNames>
    <definedName name="_xlnm.Print_Area" localSheetId="3">'Additional notes (1)  '!$A$1:$M$63</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5" l="1"/>
  <c r="E57" i="5"/>
  <c r="C56" i="5"/>
  <c r="C60" i="5"/>
  <c r="E59" i="5"/>
  <c r="E54" i="5"/>
  <c r="C54" i="5"/>
  <c r="E40" i="5"/>
  <c r="C42" i="5"/>
  <c r="C37" i="5"/>
  <c r="E24" i="5"/>
  <c r="E25" i="5"/>
  <c r="K25" i="5" s="1"/>
  <c r="K11" i="5"/>
  <c r="K12" i="5"/>
  <c r="E13" i="5"/>
  <c r="H6" i="3"/>
  <c r="B34" i="2"/>
  <c r="D19" i="2"/>
  <c r="B19" i="2"/>
  <c r="N23" i="3"/>
  <c r="N25" i="3"/>
  <c r="N24" i="3"/>
  <c r="J32" i="2" l="1"/>
  <c r="K23" i="5"/>
  <c r="J12" i="2"/>
  <c r="K10" i="5"/>
  <c r="K13" i="5"/>
  <c r="K14" i="5"/>
  <c r="I15" i="5"/>
  <c r="I17" i="5" s="1"/>
  <c r="G15" i="5"/>
  <c r="G17" i="5" s="1"/>
  <c r="E15" i="5"/>
  <c r="E17" i="5" s="1"/>
  <c r="M15" i="5"/>
  <c r="M17" i="5" s="1"/>
  <c r="L17" i="5"/>
  <c r="J17" i="5"/>
  <c r="H17" i="5"/>
  <c r="F17" i="5"/>
  <c r="C15" i="5"/>
  <c r="C17" i="5" s="1"/>
  <c r="M27" i="5"/>
  <c r="M29" i="5" s="1"/>
  <c r="L29" i="5"/>
  <c r="J14" i="2"/>
  <c r="K22" i="5"/>
  <c r="K24" i="5"/>
  <c r="K26" i="5"/>
  <c r="J29" i="5"/>
  <c r="F29" i="5"/>
  <c r="E27" i="5"/>
  <c r="E29" i="5" s="1"/>
  <c r="C27" i="5"/>
  <c r="C29" i="5" s="1"/>
  <c r="K59" i="5"/>
  <c r="K58" i="5"/>
  <c r="K57" i="5"/>
  <c r="K56" i="5"/>
  <c r="K55" i="5"/>
  <c r="K54" i="5"/>
  <c r="K53" i="5"/>
  <c r="K52" i="5"/>
  <c r="K51" i="5"/>
  <c r="K50" i="5"/>
  <c r="K49" i="5"/>
  <c r="K41" i="5"/>
  <c r="K40" i="5"/>
  <c r="K39" i="5"/>
  <c r="K38" i="5"/>
  <c r="K37" i="5"/>
  <c r="K36" i="5"/>
  <c r="K35" i="5"/>
  <c r="K34" i="5"/>
  <c r="L26" i="2"/>
  <c r="L21" i="2"/>
  <c r="L47" i="2"/>
  <c r="L42" i="2"/>
  <c r="L49" i="2" s="1"/>
  <c r="B42" i="2"/>
  <c r="B47" i="2"/>
  <c r="B21" i="2"/>
  <c r="B26" i="2"/>
  <c r="J34" i="2"/>
  <c r="J39" i="2"/>
  <c r="J33" i="2"/>
  <c r="J37" i="2"/>
  <c r="J31" i="2"/>
  <c r="J35" i="2"/>
  <c r="J36" i="2"/>
  <c r="J38" i="2"/>
  <c r="J40" i="2"/>
  <c r="J41" i="2"/>
  <c r="J45" i="2"/>
  <c r="J47" i="2" s="1"/>
  <c r="J46" i="2"/>
  <c r="H21" i="2"/>
  <c r="D21" i="2"/>
  <c r="F21" i="2"/>
  <c r="J24" i="2"/>
  <c r="J25" i="2"/>
  <c r="D26" i="2"/>
  <c r="D47" i="2"/>
  <c r="D42" i="2"/>
  <c r="F26" i="2"/>
  <c r="F47" i="2"/>
  <c r="F42" i="2"/>
  <c r="H26" i="2"/>
  <c r="H47" i="2"/>
  <c r="H49" i="2" s="1"/>
  <c r="H42" i="2"/>
  <c r="J53" i="2"/>
  <c r="K17" i="4"/>
  <c r="M60" i="5"/>
  <c r="M62" i="5" s="1"/>
  <c r="I60" i="5"/>
  <c r="I62" i="5" s="1"/>
  <c r="G60" i="5"/>
  <c r="G62" i="5" s="1"/>
  <c r="E60" i="5"/>
  <c r="M42" i="5"/>
  <c r="M44" i="5" s="1"/>
  <c r="J19" i="2"/>
  <c r="I42" i="5"/>
  <c r="I44" i="5" s="1"/>
  <c r="G42" i="5"/>
  <c r="G44" i="5" s="1"/>
  <c r="E42" i="5"/>
  <c r="M1" i="5"/>
  <c r="H9" i="3"/>
  <c r="J9" i="3"/>
  <c r="L9" i="3"/>
  <c r="N48" i="3"/>
  <c r="P48" i="3"/>
  <c r="P41" i="3"/>
  <c r="N41" i="3"/>
  <c r="P32" i="3"/>
  <c r="N32" i="3"/>
  <c r="L32" i="3"/>
  <c r="P19" i="3"/>
  <c r="N19" i="3"/>
  <c r="C1" i="5"/>
  <c r="N7" i="3"/>
  <c r="J20" i="2"/>
  <c r="J18" i="2"/>
  <c r="J17" i="2"/>
  <c r="J15" i="2"/>
  <c r="J13" i="2"/>
  <c r="N8" i="3"/>
  <c r="N5" i="3"/>
  <c r="K1" i="4"/>
  <c r="B1" i="4"/>
  <c r="B1" i="3"/>
  <c r="N1" i="3"/>
  <c r="P9" i="3"/>
  <c r="K42" i="5" l="1"/>
  <c r="K15" i="5"/>
  <c r="K17" i="5" s="1"/>
  <c r="D28" i="2"/>
  <c r="H28" i="2"/>
  <c r="B49" i="2"/>
  <c r="L28" i="2"/>
  <c r="L51" i="2" s="1"/>
  <c r="L55" i="2" s="1"/>
  <c r="P10" i="3" s="1"/>
  <c r="F49" i="2"/>
  <c r="F28" i="2"/>
  <c r="J48" i="2"/>
  <c r="J26" i="2"/>
  <c r="J21" i="2"/>
  <c r="J22" i="2" s="1"/>
  <c r="K60" i="5"/>
  <c r="D49" i="2"/>
  <c r="J42" i="2"/>
  <c r="J49" i="2" s="1"/>
  <c r="K27" i="5"/>
  <c r="K29" i="5" s="1"/>
  <c r="B28" i="2"/>
  <c r="F51" i="2"/>
  <c r="F55" i="2" s="1"/>
  <c r="J10" i="3" s="1"/>
  <c r="H51" i="2"/>
  <c r="H55" i="2" s="1"/>
  <c r="L10" i="3" s="1"/>
  <c r="J27" i="2"/>
  <c r="B51" i="2" l="1"/>
  <c r="J43" i="2"/>
  <c r="J50" i="2"/>
  <c r="D51" i="2"/>
  <c r="D55" i="2" s="1"/>
  <c r="H10" i="3" s="1"/>
  <c r="J28" i="2"/>
  <c r="J29" i="2" s="1"/>
  <c r="B55" i="2" l="1"/>
  <c r="F6" i="3"/>
  <c r="J51" i="2"/>
  <c r="J55" i="2" s="1"/>
  <c r="F10" i="3" l="1"/>
  <c r="N6" i="3"/>
  <c r="N10" i="3" s="1"/>
  <c r="F9" i="3"/>
  <c r="N9" i="3" s="1"/>
  <c r="J56" i="2"/>
</calcChain>
</file>

<file path=xl/sharedStrings.xml><?xml version="1.0" encoding="utf-8"?>
<sst xmlns="http://schemas.openxmlformats.org/spreadsheetml/2006/main" count="231" uniqueCount="145">
  <si>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</si>
  <si>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</si>
  <si>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</si>
  <si>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</si>
  <si>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</si>
  <si>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</si>
  <si>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</si>
  <si>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</si>
  <si>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</si>
  <si>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</si>
  <si>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</si>
  <si>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</si>
  <si>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</si>
  <si>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</si>
  <si>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</si>
  <si>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</si>
  <si>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</si>
  <si>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</si>
  <si>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</si>
  <si>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</si>
  <si>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</si>
  <si>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</si>
  <si>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</si>
  <si>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</si>
  <si>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</si>
  <si>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</si>
  <si>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</si>
  <si>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</si>
  <si>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</si>
  <si>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</si>
  <si>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</si>
  <si>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</si>
  <si>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</si>
  <si>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</si>
  <si>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</si>
  <si>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</si>
  <si>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</si>
  <si>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</si>
  <si>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</si>
  <si>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</si>
  <si>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</si>
  <si>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</si>
  <si>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</si>
  <si>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</si>
  <si>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</si>
  <si>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</si>
  <si>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</si>
  <si>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</si>
  <si>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</si>
  <si>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</si>
  <si>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</si>
  <si>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</si>
  <si>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</si>
  <si>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</si>
  <si>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</si>
  <si>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</si>
  <si>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</si>
  <si>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</si>
  <si>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</si>
  <si>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</si>
  <si>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</si>
  <si>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</si>
  <si>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</si>
  <si>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</si>
  <si>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</si>
  <si>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</si>
  <si>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</si>
  <si>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</si>
  <si>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</si>
  <si>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</si>
  <si>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</si>
  <si>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</si>
  <si>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</si>
  <si>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</si>
  <si>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</si>
  <si>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</si>
  <si>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</si>
  <si>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</si>
  <si>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</si>
  <si>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</si>
  <si>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</si>
  <si>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</si>
  <si>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</si>
  <si>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</si>
  <si>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</si>
  <si>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</si>
  <si>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</si>
  <si>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</si>
  <si>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</si>
  <si>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</si>
  <si>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Net receipts / (payments)</t>
  </si>
  <si>
    <t xml:space="preserve">Section C Notes to the Accounts </t>
  </si>
  <si>
    <r>
      <t xml:space="preserve">C1 Nature and purpose of funds </t>
    </r>
    <r>
      <rPr>
        <i/>
        <sz val="12"/>
        <rFont val="Arial"/>
        <family val="2"/>
      </rPr>
      <t>(may be stated on analysis of funds worksheets)</t>
    </r>
  </si>
  <si>
    <t>Additional analysis (1)</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</si>
  <si>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</si>
  <si>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</si>
  <si>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</si>
  <si>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</si>
  <si>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</si>
  <si>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</si>
  <si>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</si>
  <si>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</si>
  <si>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</si>
  <si>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Other </t>
  </si>
  <si>
    <t>Section A Statement of receipts and payments</t>
  </si>
  <si>
    <t>Period start date</t>
  </si>
  <si>
    <t>Period end date</t>
  </si>
  <si>
    <t xml:space="preserve">Analysis of receipts and payments </t>
  </si>
  <si>
    <t>SC049809</t>
  </si>
  <si>
    <t>Dyce and Stoneywood Community Association</t>
  </si>
  <si>
    <t>Bank Interest</t>
  </si>
  <si>
    <t>Motor Vehicles</t>
  </si>
  <si>
    <t>Furniture and Fixtures</t>
  </si>
  <si>
    <t>Equipment</t>
  </si>
  <si>
    <t>Unrestricted</t>
  </si>
  <si>
    <t xml:space="preserve">Adj prior year </t>
  </si>
  <si>
    <t xml:space="preserve">The majority of income is generated by the various groups and activities which take place within the community centre.  Some are considered restricted as they are reserved for the use of the spcific group from which they are generated.
</t>
  </si>
  <si>
    <t>Bench donations</t>
  </si>
  <si>
    <t>Mens Shed donations from members</t>
  </si>
  <si>
    <t>Encourage/Lunchclub</t>
  </si>
  <si>
    <t>Minibus group user donations</t>
  </si>
  <si>
    <t>Class sales products and materials</t>
  </si>
  <si>
    <t>Class Entry fees</t>
  </si>
  <si>
    <t>Mini Bus</t>
  </si>
  <si>
    <t>Refreshments income</t>
  </si>
  <si>
    <t>Trip income</t>
  </si>
  <si>
    <t>Insurance refund</t>
  </si>
  <si>
    <t>Other income</t>
  </si>
  <si>
    <t>Salaries</t>
  </si>
  <si>
    <t>Materials and Equipment</t>
  </si>
  <si>
    <t>Mini Bus Hire</t>
  </si>
  <si>
    <t>Insurance</t>
  </si>
  <si>
    <t>Travel</t>
  </si>
  <si>
    <t>Office costs</t>
  </si>
  <si>
    <t>Accountancy/payroll</t>
  </si>
  <si>
    <t>General/Misc</t>
  </si>
  <si>
    <t>Entertainment/Refreshment</t>
  </si>
  <si>
    <t>Encourage Group costs</t>
  </si>
  <si>
    <t>Vehicle Expenses</t>
  </si>
  <si>
    <t>Aberdeen City Council</t>
  </si>
  <si>
    <t>NHS</t>
  </si>
  <si>
    <t>Scottish Government</t>
  </si>
  <si>
    <t>Age Scotland</t>
  </si>
  <si>
    <t>ASDA</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</si>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</sst>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2"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91">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168" fontId="3" fillId="3" borderId="10" xfId="1" applyNumberFormat="1" applyFont="1" applyFill="1" applyBorder="1" applyAlignment="1" applyProtection="1">
      <alignment horizontal="right" shrinkToFit="1"/>
      <protection locked="0"/>
    </xf>
    <xf numFmtId="41" fontId="2" fillId="0" borderId="0" xfId="0" applyNumberFormat="1" applyFont="1" applyProtection="1">
      <protection locked="0"/>
    </xf>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3" fontId="12" fillId="0" borderId="0" xfId="0" applyNumberFormat="1" applyFont="1" applyProtection="1">
      <protection locked="0"/>
    </xf>
    <xf numFmtId="41" fontId="4" fillId="0" borderId="0" xfId="1" applyNumberFormat="1" applyFont="1" applyFill="1" applyAlignment="1" applyProtection="1">
      <alignment horizontal="left"/>
      <protection locked="0"/>
    </xf>
    <xf numFmtId="0" fontId="19" fillId="0" borderId="0" xfId="0" applyFont="1" applyAlignment="1" applyProtection="1">
      <alignment horizontal="left" vertical="top" wrapText="1"/>
      <protection locked="0"/>
    </xf>
    <xf numFmtId="0" fontId="12" fillId="0" borderId="0" xfId="0" applyFont="1" applyAlignment="1" applyProtection="1">
      <alignment horizontal="center"/>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3" fillId="0" borderId="0" xfId="0" applyFont="1" applyAlignment="1" applyProtection="1">
      <alignment horizontal="right" vertical="top" wrapText="1"/>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168" fontId="12" fillId="0" borderId="0" xfId="0" applyNumberFormat="1" applyFont="1" applyProtection="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January</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	</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December</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	</a:t>
          </a: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31</xdr:row>
      <xdr:rowOff>190500</xdr:rowOff>
    </xdr:from>
    <xdr:to>
      <xdr:col>5</xdr:col>
      <xdr:colOff>104775</xdr:colOff>
      <xdr:row>31</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31</xdr:row>
      <xdr:rowOff>190500</xdr:rowOff>
    </xdr:from>
    <xdr:to>
      <xdr:col>11</xdr:col>
      <xdr:colOff>104775</xdr:colOff>
      <xdr:row>31</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31</xdr:row>
      <xdr:rowOff>190500</xdr:rowOff>
    </xdr:from>
    <xdr:to>
      <xdr:col>9</xdr:col>
      <xdr:colOff>104775</xdr:colOff>
      <xdr:row>31</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46</xdr:row>
      <xdr:rowOff>190500</xdr:rowOff>
    </xdr:from>
    <xdr:to>
      <xdr:col>5</xdr:col>
      <xdr:colOff>104775</xdr:colOff>
      <xdr:row>46</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46</xdr:row>
      <xdr:rowOff>190500</xdr:rowOff>
    </xdr:from>
    <xdr:to>
      <xdr:col>11</xdr:col>
      <xdr:colOff>104775</xdr:colOff>
      <xdr:row>46</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46</xdr:row>
      <xdr:rowOff>190500</xdr:rowOff>
    </xdr:from>
    <xdr:to>
      <xdr:col>9</xdr:col>
      <xdr:colOff>104775</xdr:colOff>
      <xdr:row>46</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19</xdr:row>
      <xdr:rowOff>190500</xdr:rowOff>
    </xdr:from>
    <xdr:to>
      <xdr:col>5</xdr:col>
      <xdr:colOff>104775</xdr:colOff>
      <xdr:row>19</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19</xdr:row>
      <xdr:rowOff>190500</xdr:rowOff>
    </xdr:from>
    <xdr:to>
      <xdr:col>11</xdr:col>
      <xdr:colOff>104775</xdr:colOff>
      <xdr:row>19</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19</xdr:row>
      <xdr:rowOff>190500</xdr:rowOff>
    </xdr:from>
    <xdr:to>
      <xdr:col>9</xdr:col>
      <xdr:colOff>104775</xdr:colOff>
      <xdr:row>19</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topLeftCell="A29" zoomScale="75" zoomScaleNormal="85" zoomScaleSheetLayoutView="80" workbookViewId="0">
      <selection activeCell="D21" sqref="D21"/>
    </sheetView>
  </sheetViews>
  <sheetFormatPr defaultColWidth="9.140625" defaultRowHeight="12.75" x14ac:dyDescent="0.2"/>
  <cols>
    <col min="1" max="1" width="35.28515625" style="1" customWidth="1"/>
    <col min="2" max="2" width="16.140625" style="30" customWidth="1"/>
    <col min="3" max="3" width="1.7109375" style="1" customWidth="1"/>
    <col min="4" max="4" width="16.28515625" style="1" customWidth="1"/>
    <col min="5" max="5" width="1.5703125" style="1" customWidth="1"/>
    <col min="6" max="6" width="13.85546875" style="1" customWidth="1"/>
    <col min="7" max="7" width="3.5703125" style="1" customWidth="1"/>
    <col min="8" max="8" width="15.42578125" style="1" customWidth="1"/>
    <col min="9" max="9" width="1.5703125" style="1" customWidth="1"/>
    <col min="10" max="10" width="16" style="1" customWidth="1"/>
    <col min="11" max="11" width="1.5703125" style="1" customWidth="1"/>
    <col min="12" max="12" width="16.85546875" style="1" customWidth="1"/>
    <col min="13" max="16384" width="9.140625" style="1"/>
  </cols>
  <sheetData>
    <row r="1" spans="1:13" ht="18" customHeight="1" x14ac:dyDescent="0.2">
      <c r="A1" s="185"/>
      <c r="B1" s="189" t="s">
        <v>70</v>
      </c>
      <c r="C1" s="189"/>
      <c r="D1" s="189"/>
      <c r="E1" s="189"/>
      <c r="F1" s="189"/>
      <c r="G1" s="189"/>
      <c r="H1" s="189"/>
      <c r="I1" s="189"/>
      <c r="J1" s="189"/>
      <c r="L1" s="145" t="s">
        <v>72</v>
      </c>
      <c r="M1" s="144"/>
    </row>
    <row r="2" spans="1:13" ht="30.75" customHeight="1" x14ac:dyDescent="0.2">
      <c r="A2" s="185"/>
      <c r="B2" s="190" t="s">
        <v>109</v>
      </c>
      <c r="C2" s="190"/>
      <c r="D2" s="190"/>
      <c r="E2" s="190"/>
      <c r="F2" s="190"/>
      <c r="G2" s="190"/>
      <c r="H2" s="190"/>
      <c r="I2" s="190"/>
      <c r="J2" s="190"/>
      <c r="L2" s="146" t="s">
        <v>108</v>
      </c>
      <c r="M2" s="69"/>
    </row>
    <row r="3" spans="1:13" ht="24" customHeight="1" x14ac:dyDescent="0.2">
      <c r="A3" s="185"/>
      <c r="B3" s="186" t="s">
        <v>13</v>
      </c>
      <c r="C3" s="187"/>
      <c r="D3" s="187"/>
      <c r="E3" s="187"/>
      <c r="F3" s="187"/>
      <c r="G3" s="187"/>
      <c r="H3" s="187"/>
      <c r="I3" s="187"/>
      <c r="J3" s="188"/>
      <c r="L3" s="143"/>
    </row>
    <row r="4" spans="1:13" ht="14.25" customHeight="1" x14ac:dyDescent="0.2">
      <c r="A4" s="185"/>
      <c r="B4" s="191" t="s">
        <v>19</v>
      </c>
      <c r="C4" s="193"/>
      <c r="D4" s="194" t="s">
        <v>105</v>
      </c>
      <c r="E4" s="195"/>
      <c r="F4" s="196"/>
      <c r="G4" s="197" t="s">
        <v>71</v>
      </c>
      <c r="H4" s="194" t="s">
        <v>106</v>
      </c>
      <c r="I4" s="195"/>
      <c r="J4" s="196"/>
      <c r="L4" s="143"/>
    </row>
    <row r="5" spans="1:13" ht="16.5" customHeight="1" x14ac:dyDescent="0.2">
      <c r="A5" s="185"/>
      <c r="B5" s="191"/>
      <c r="C5" s="193"/>
      <c r="D5" s="200"/>
      <c r="E5" s="200"/>
      <c r="F5" s="200"/>
      <c r="G5" s="197"/>
      <c r="H5" s="201"/>
      <c r="I5" s="201"/>
      <c r="J5" s="201"/>
      <c r="L5" s="143"/>
    </row>
    <row r="6" spans="1:13" ht="21" customHeight="1" x14ac:dyDescent="0.2">
      <c r="A6" s="185"/>
      <c r="B6" s="192"/>
      <c r="C6" s="193"/>
      <c r="D6" s="198"/>
      <c r="E6" s="198"/>
      <c r="F6" s="198"/>
      <c r="G6" s="197"/>
      <c r="H6" s="199"/>
      <c r="I6" s="199"/>
      <c r="J6" s="199"/>
      <c r="L6" s="143"/>
    </row>
    <row r="8" spans="1:13" ht="20.25" x14ac:dyDescent="0.3">
      <c r="A8" s="47" t="s">
        <v>104</v>
      </c>
      <c r="B8" s="49"/>
      <c r="C8" s="47"/>
      <c r="D8" s="47"/>
      <c r="E8" s="47"/>
      <c r="F8" s="47"/>
      <c r="G8" s="47"/>
      <c r="H8" s="47"/>
      <c r="I8" s="47"/>
      <c r="J8" s="47"/>
      <c r="K8" s="28"/>
      <c r="L8" s="29"/>
    </row>
    <row r="9" spans="1:13" ht="45" x14ac:dyDescent="0.25">
      <c r="A9" s="48"/>
      <c r="B9" s="31" t="s">
        <v>0</v>
      </c>
      <c r="C9" s="2"/>
      <c r="D9" s="2" t="s">
        <v>1</v>
      </c>
      <c r="E9" s="2"/>
      <c r="F9" s="2" t="s">
        <v>79</v>
      </c>
      <c r="G9" s="2"/>
      <c r="H9" s="2" t="s">
        <v>80</v>
      </c>
      <c r="I9" s="2"/>
      <c r="J9" s="2" t="s">
        <v>73</v>
      </c>
      <c r="K9" s="3"/>
      <c r="L9" s="2" t="s">
        <v>74</v>
      </c>
    </row>
    <row r="10" spans="1:13" ht="24" customHeight="1" x14ac:dyDescent="0.25">
      <c r="A10" s="4"/>
      <c r="B10" s="32" t="s">
        <v>4</v>
      </c>
      <c r="C10" s="6"/>
      <c r="D10" s="32" t="s">
        <v>4</v>
      </c>
      <c r="E10" s="32"/>
      <c r="F10" s="32" t="s">
        <v>4</v>
      </c>
      <c r="G10" s="32"/>
      <c r="H10" s="32" t="s">
        <v>4</v>
      </c>
      <c r="I10" s="32"/>
      <c r="J10" s="32" t="s">
        <v>4</v>
      </c>
      <c r="K10" s="32"/>
      <c r="L10" s="32" t="s">
        <v>4</v>
      </c>
    </row>
    <row r="11" spans="1:13" ht="20.100000000000001" customHeight="1" x14ac:dyDescent="0.25">
      <c r="A11" s="26" t="s">
        <v>7</v>
      </c>
      <c r="B11" s="33"/>
      <c r="C11" s="7"/>
      <c r="D11" s="7"/>
      <c r="E11" s="7"/>
      <c r="F11" s="7"/>
      <c r="G11" s="7"/>
      <c r="H11" s="7"/>
      <c r="I11" s="7"/>
      <c r="J11" s="7"/>
      <c r="K11" s="8"/>
    </row>
    <row r="12" spans="1:13" ht="20.100000000000001" customHeight="1" x14ac:dyDescent="0.25">
      <c r="A12" s="85" t="s">
        <v>21</v>
      </c>
      <c r="B12" s="152">
        <v>183.25</v>
      </c>
      <c r="C12" s="153"/>
      <c r="D12" s="152">
        <v>2787.4</v>
      </c>
      <c r="E12" s="153"/>
      <c r="F12" s="152"/>
      <c r="G12" s="153"/>
      <c r="H12" s="152"/>
      <c r="I12" s="153"/>
      <c r="J12" s="154">
        <f>H12+D12+B12+F12</f>
        <v>2970.65</v>
      </c>
      <c r="K12" s="155"/>
      <c r="L12" s="152">
        <v>1818</v>
      </c>
    </row>
    <row r="13" spans="1:13" ht="20.100000000000001" customHeight="1" x14ac:dyDescent="0.25">
      <c r="A13" s="85" t="s">
        <v>22</v>
      </c>
      <c r="B13" s="152"/>
      <c r="C13" s="153"/>
      <c r="D13" s="152"/>
      <c r="E13" s="153"/>
      <c r="F13" s="152"/>
      <c r="G13" s="153"/>
      <c r="H13" s="152"/>
      <c r="I13" s="153"/>
      <c r="J13" s="154">
        <f t="shared" ref="J13:J21" si="0">H13+D13+B13+F13</f>
        <v>0</v>
      </c>
      <c r="K13" s="155"/>
      <c r="L13" s="152"/>
    </row>
    <row r="14" spans="1:13" ht="20.100000000000001" customHeight="1" x14ac:dyDescent="0.25">
      <c r="A14" s="85" t="s">
        <v>23</v>
      </c>
      <c r="B14" s="152"/>
      <c r="C14" s="153"/>
      <c r="D14" s="152">
        <v>2893.89</v>
      </c>
      <c r="E14" s="153"/>
      <c r="F14" s="152"/>
      <c r="G14" s="153"/>
      <c r="H14" s="152"/>
      <c r="I14" s="153"/>
      <c r="J14" s="154">
        <f t="shared" si="0"/>
        <v>2893.89</v>
      </c>
      <c r="K14" s="155"/>
      <c r="L14" s="152">
        <v>2075</v>
      </c>
    </row>
    <row r="15" spans="1:13" ht="20.100000000000001" customHeight="1" x14ac:dyDescent="0.25">
      <c r="A15" s="85" t="s">
        <v>24</v>
      </c>
      <c r="B15" s="152"/>
      <c r="C15" s="153"/>
      <c r="D15" s="152"/>
      <c r="E15" s="153"/>
      <c r="F15" s="152"/>
      <c r="G15" s="153"/>
      <c r="H15" s="152"/>
      <c r="I15" s="153"/>
      <c r="J15" s="154">
        <f t="shared" si="0"/>
        <v>0</v>
      </c>
      <c r="K15" s="155"/>
      <c r="L15" s="152"/>
    </row>
    <row r="16" spans="1:13" ht="20.100000000000001" customHeight="1" x14ac:dyDescent="0.25">
      <c r="A16" s="85" t="s">
        <v>25</v>
      </c>
      <c r="B16" s="152"/>
      <c r="C16" s="153"/>
      <c r="D16" s="152"/>
      <c r="E16" s="153"/>
      <c r="F16" s="152"/>
      <c r="G16" s="153"/>
      <c r="H16" s="152"/>
      <c r="I16" s="153"/>
      <c r="J16" s="154"/>
      <c r="K16" s="155"/>
      <c r="L16" s="152"/>
    </row>
    <row r="17" spans="1:12" ht="15" x14ac:dyDescent="0.25">
      <c r="A17" s="85" t="s">
        <v>110</v>
      </c>
      <c r="B17" s="152">
        <v>1720.43</v>
      </c>
      <c r="C17" s="153"/>
      <c r="D17" s="152"/>
      <c r="E17" s="153"/>
      <c r="F17" s="152"/>
      <c r="G17" s="153"/>
      <c r="H17" s="152"/>
      <c r="I17" s="153"/>
      <c r="J17" s="154">
        <f t="shared" si="0"/>
        <v>1720.43</v>
      </c>
      <c r="K17" s="155"/>
      <c r="L17" s="152">
        <v>1711</v>
      </c>
    </row>
    <row r="18" spans="1:12" ht="20.100000000000001" customHeight="1" x14ac:dyDescent="0.25">
      <c r="A18" s="85" t="s">
        <v>67</v>
      </c>
      <c r="B18" s="152"/>
      <c r="C18" s="153"/>
      <c r="D18" s="152"/>
      <c r="E18" s="153"/>
      <c r="F18" s="152"/>
      <c r="G18" s="153"/>
      <c r="H18" s="152"/>
      <c r="I18" s="153"/>
      <c r="J18" s="154">
        <f t="shared" si="0"/>
        <v>0</v>
      </c>
      <c r="K18" s="155"/>
      <c r="L18" s="152"/>
    </row>
    <row r="19" spans="1:12" ht="29.25" x14ac:dyDescent="0.25">
      <c r="A19" s="85" t="s">
        <v>68</v>
      </c>
      <c r="B19" s="152">
        <f>17422.96-1904</f>
        <v>15518.96</v>
      </c>
      <c r="C19" s="153"/>
      <c r="D19" s="152">
        <f>18709.74-5681</f>
        <v>13028.740000000002</v>
      </c>
      <c r="E19" s="153"/>
      <c r="F19" s="152"/>
      <c r="G19" s="153"/>
      <c r="H19" s="152"/>
      <c r="I19" s="153"/>
      <c r="J19" s="154">
        <f t="shared" si="0"/>
        <v>28547.7</v>
      </c>
      <c r="K19" s="155"/>
      <c r="L19" s="152">
        <v>27305</v>
      </c>
    </row>
    <row r="20" spans="1:12" ht="20.100000000000001" customHeight="1" x14ac:dyDescent="0.25">
      <c r="A20" s="85"/>
      <c r="B20" s="152"/>
      <c r="C20" s="153"/>
      <c r="D20" s="152"/>
      <c r="E20" s="153"/>
      <c r="F20" s="152"/>
      <c r="G20" s="153"/>
      <c r="H20" s="152"/>
      <c r="I20" s="153"/>
      <c r="J20" s="154">
        <f t="shared" si="0"/>
        <v>0</v>
      </c>
      <c r="K20" s="155"/>
      <c r="L20" s="152"/>
    </row>
    <row r="21" spans="1:12" ht="17.25" customHeight="1" thickBot="1" x14ac:dyDescent="0.3">
      <c r="A21" s="9" t="s">
        <v>85</v>
      </c>
      <c r="B21" s="156">
        <f>SUM(B12:B20)</f>
        <v>17422.64</v>
      </c>
      <c r="C21" s="157"/>
      <c r="D21" s="156">
        <f>SUM(D12:D20)</f>
        <v>18710.030000000002</v>
      </c>
      <c r="E21" s="153"/>
      <c r="F21" s="156">
        <f>SUM(F12:F20)</f>
        <v>0</v>
      </c>
      <c r="G21" s="153"/>
      <c r="H21" s="156">
        <f>SUM(H12:H20)</f>
        <v>0</v>
      </c>
      <c r="I21" s="153"/>
      <c r="J21" s="158">
        <f t="shared" si="0"/>
        <v>36132.67</v>
      </c>
      <c r="K21" s="155"/>
      <c r="L21" s="156">
        <f>SUM(L12:L20)</f>
        <v>32909</v>
      </c>
    </row>
    <row r="22" spans="1:12" ht="16.5" customHeight="1" thickTop="1" x14ac:dyDescent="0.2">
      <c r="A22" s="10"/>
      <c r="B22" s="34"/>
      <c r="C22" s="53"/>
      <c r="D22" s="53"/>
      <c r="E22" s="53"/>
      <c r="F22" s="53"/>
      <c r="G22" s="53"/>
      <c r="H22" s="53"/>
      <c r="I22" s="53"/>
      <c r="J22" s="55" t="str">
        <f>IF(B21+D21+F21+H21-J21=0," ","error")</f>
        <v xml:space="preserve"> </v>
      </c>
      <c r="K22" s="53"/>
      <c r="L22" s="54"/>
    </row>
    <row r="23" spans="1:12" ht="30" x14ac:dyDescent="0.25">
      <c r="A23" s="67" t="s">
        <v>65</v>
      </c>
      <c r="B23" s="159"/>
      <c r="C23" s="8"/>
      <c r="D23" s="8"/>
      <c r="E23" s="8"/>
      <c r="F23" s="8"/>
      <c r="G23" s="8"/>
      <c r="H23" s="8"/>
      <c r="I23" s="8"/>
      <c r="J23" s="8"/>
      <c r="K23" s="8"/>
    </row>
    <row r="24" spans="1:12" ht="20.100000000000001" customHeight="1" x14ac:dyDescent="0.25">
      <c r="A24" s="85" t="s">
        <v>26</v>
      </c>
      <c r="B24" s="152"/>
      <c r="C24" s="153"/>
      <c r="D24" s="152"/>
      <c r="E24" s="153"/>
      <c r="F24" s="152"/>
      <c r="G24" s="153"/>
      <c r="H24" s="152"/>
      <c r="I24" s="153"/>
      <c r="J24" s="154">
        <f>H24+D24+B24+F24</f>
        <v>0</v>
      </c>
      <c r="K24" s="155"/>
      <c r="L24" s="152"/>
    </row>
    <row r="25" spans="1:12" ht="20.100000000000001" customHeight="1" x14ac:dyDescent="0.25">
      <c r="A25" s="85" t="s">
        <v>27</v>
      </c>
      <c r="B25" s="152"/>
      <c r="C25" s="153"/>
      <c r="D25" s="152"/>
      <c r="E25" s="153"/>
      <c r="F25" s="152"/>
      <c r="G25" s="153"/>
      <c r="H25" s="152"/>
      <c r="I25" s="153"/>
      <c r="J25" s="154">
        <f>H25+D25+B25+F25</f>
        <v>0</v>
      </c>
      <c r="K25" s="155"/>
      <c r="L25" s="152"/>
    </row>
    <row r="26" spans="1:12" ht="17.25" customHeight="1" thickBot="1" x14ac:dyDescent="0.3">
      <c r="A26" s="9" t="s">
        <v>86</v>
      </c>
      <c r="B26" s="156">
        <f>SUM(B24:B25)</f>
        <v>0</v>
      </c>
      <c r="C26" s="157"/>
      <c r="D26" s="156">
        <f>SUM(D24:D25)</f>
        <v>0</v>
      </c>
      <c r="E26" s="153"/>
      <c r="F26" s="156">
        <f>SUM(F24:F25)</f>
        <v>0</v>
      </c>
      <c r="G26" s="153"/>
      <c r="H26" s="156">
        <f>SUM(H24:H25)</f>
        <v>0</v>
      </c>
      <c r="I26" s="153"/>
      <c r="J26" s="156">
        <f>SUM(J24:J25)</f>
        <v>0</v>
      </c>
      <c r="K26" s="155"/>
      <c r="L26" s="156">
        <f>SUM(L24:L25)</f>
        <v>0</v>
      </c>
    </row>
    <row r="27" spans="1:12" ht="8.25" customHeight="1" thickTop="1" x14ac:dyDescent="0.25">
      <c r="A27" s="25"/>
      <c r="B27" s="160"/>
      <c r="C27" s="161"/>
      <c r="D27" s="160"/>
      <c r="E27" s="161"/>
      <c r="F27" s="160"/>
      <c r="G27" s="161"/>
      <c r="H27" s="160"/>
      <c r="I27" s="162"/>
      <c r="J27" s="142" t="str">
        <f>IF(B26+D26+F26+H26-J26=0," ","error")</f>
        <v xml:space="preserve"> </v>
      </c>
      <c r="K27" s="155"/>
      <c r="L27" s="142"/>
    </row>
    <row r="28" spans="1:12" ht="20.100000000000001" customHeight="1" thickBot="1" x14ac:dyDescent="0.3">
      <c r="A28" s="9" t="s">
        <v>11</v>
      </c>
      <c r="B28" s="163">
        <f>B26+B21</f>
        <v>17422.64</v>
      </c>
      <c r="C28" s="162"/>
      <c r="D28" s="163">
        <f>D26+D21</f>
        <v>18710.030000000002</v>
      </c>
      <c r="E28" s="162"/>
      <c r="F28" s="163">
        <f>F26+F21</f>
        <v>0</v>
      </c>
      <c r="G28" s="162"/>
      <c r="H28" s="163">
        <f>H26+H21</f>
        <v>0</v>
      </c>
      <c r="I28" s="162"/>
      <c r="J28" s="163">
        <f>J26+J21</f>
        <v>36132.67</v>
      </c>
      <c r="K28" s="155"/>
      <c r="L28" s="163">
        <f>L26+L21</f>
        <v>32909</v>
      </c>
    </row>
    <row r="29" spans="1:12" ht="16.5" customHeight="1" thickTop="1" x14ac:dyDescent="0.2">
      <c r="B29" s="164"/>
      <c r="C29" s="54"/>
      <c r="D29" s="54"/>
      <c r="E29" s="54"/>
      <c r="F29" s="54"/>
      <c r="G29" s="54"/>
      <c r="H29" s="54"/>
      <c r="I29" s="54"/>
      <c r="J29" s="55" t="str">
        <f>IF(B28+D28+H28-J28=0," ","error")</f>
        <v xml:space="preserve"> </v>
      </c>
      <c r="K29" s="54"/>
      <c r="L29" s="54"/>
    </row>
    <row r="30" spans="1:12" ht="18" customHeight="1" x14ac:dyDescent="0.2">
      <c r="A30" s="27" t="s">
        <v>8</v>
      </c>
      <c r="B30" s="165"/>
      <c r="C30" s="166"/>
      <c r="D30" s="166"/>
      <c r="E30" s="166"/>
      <c r="F30" s="166"/>
      <c r="G30" s="166"/>
      <c r="H30" s="166"/>
      <c r="I30" s="166"/>
      <c r="J30" s="166"/>
      <c r="K30" s="166"/>
      <c r="L30" s="166"/>
    </row>
    <row r="31" spans="1:12" ht="20.100000000000001" customHeight="1" x14ac:dyDescent="0.25">
      <c r="A31" s="86" t="s">
        <v>28</v>
      </c>
      <c r="B31" s="152"/>
      <c r="C31" s="160"/>
      <c r="D31" s="152"/>
      <c r="E31" s="153"/>
      <c r="F31" s="152"/>
      <c r="G31" s="153"/>
      <c r="H31" s="152"/>
      <c r="I31" s="153"/>
      <c r="J31" s="154">
        <f>H31+D31+B31+F31</f>
        <v>0</v>
      </c>
      <c r="K31" s="142"/>
      <c r="L31" s="152"/>
    </row>
    <row r="32" spans="1:12" ht="20.100000000000001" customHeight="1" x14ac:dyDescent="0.25">
      <c r="A32" s="86" t="s">
        <v>96</v>
      </c>
      <c r="B32" s="152"/>
      <c r="C32" s="160"/>
      <c r="D32" s="152"/>
      <c r="E32" s="153"/>
      <c r="F32" s="152"/>
      <c r="G32" s="153"/>
      <c r="H32" s="152"/>
      <c r="I32" s="153"/>
      <c r="J32" s="154">
        <f t="shared" ref="J32:J41" si="1">H32+D32+B32+F32</f>
        <v>0</v>
      </c>
      <c r="K32" s="142"/>
      <c r="L32" s="152"/>
    </row>
    <row r="33" spans="1:12" ht="20.100000000000001" customHeight="1" x14ac:dyDescent="0.25">
      <c r="A33" s="86" t="s">
        <v>29</v>
      </c>
      <c r="B33" s="152"/>
      <c r="C33" s="160"/>
      <c r="D33" s="152"/>
      <c r="E33" s="153"/>
      <c r="F33" s="152"/>
      <c r="G33" s="153"/>
      <c r="H33" s="152"/>
      <c r="I33" s="153"/>
      <c r="J33" s="154">
        <f t="shared" si="1"/>
        <v>0</v>
      </c>
      <c r="K33" s="142"/>
      <c r="L33" s="152"/>
    </row>
    <row r="34" spans="1:12" ht="28.5" x14ac:dyDescent="0.25">
      <c r="A34" s="86" t="s">
        <v>30</v>
      </c>
      <c r="B34" s="152">
        <f>12008.18-595</f>
        <v>11413.18</v>
      </c>
      <c r="C34" s="160"/>
      <c r="D34" s="152">
        <v>15192.87</v>
      </c>
      <c r="E34" s="153"/>
      <c r="F34" s="152"/>
      <c r="G34" s="153"/>
      <c r="H34" s="152"/>
      <c r="I34" s="153"/>
      <c r="J34" s="154">
        <f t="shared" si="1"/>
        <v>26606.050000000003</v>
      </c>
      <c r="K34" s="142"/>
      <c r="L34" s="152">
        <v>31864</v>
      </c>
    </row>
    <row r="35" spans="1:12" ht="20.100000000000001" customHeight="1" x14ac:dyDescent="0.25">
      <c r="A35" s="86" t="s">
        <v>31</v>
      </c>
      <c r="B35" s="152"/>
      <c r="C35" s="160"/>
      <c r="D35" s="152"/>
      <c r="E35" s="153"/>
      <c r="F35" s="152"/>
      <c r="G35" s="153"/>
      <c r="H35" s="152"/>
      <c r="I35" s="153"/>
      <c r="J35" s="154">
        <f t="shared" si="1"/>
        <v>0</v>
      </c>
      <c r="K35" s="142"/>
      <c r="L35" s="152"/>
    </row>
    <row r="36" spans="1:12" ht="20.100000000000001" customHeight="1" x14ac:dyDescent="0.25">
      <c r="A36" s="86" t="s">
        <v>32</v>
      </c>
      <c r="B36" s="152"/>
      <c r="C36" s="160"/>
      <c r="D36" s="152"/>
      <c r="E36" s="153"/>
      <c r="F36" s="152"/>
      <c r="G36" s="153"/>
      <c r="H36" s="152"/>
      <c r="I36" s="153"/>
      <c r="J36" s="154">
        <f t="shared" si="1"/>
        <v>0</v>
      </c>
      <c r="K36" s="142"/>
      <c r="L36" s="152"/>
    </row>
    <row r="37" spans="1:12" ht="20.100000000000001" customHeight="1" x14ac:dyDescent="0.25">
      <c r="A37" s="87" t="s">
        <v>33</v>
      </c>
      <c r="B37" s="152">
        <v>595</v>
      </c>
      <c r="C37" s="160"/>
      <c r="D37" s="152"/>
      <c r="E37" s="153"/>
      <c r="F37" s="152"/>
      <c r="G37" s="153"/>
      <c r="H37" s="152"/>
      <c r="I37" s="153"/>
      <c r="J37" s="154">
        <f t="shared" si="1"/>
        <v>595</v>
      </c>
      <c r="K37" s="142"/>
      <c r="L37" s="152">
        <v>1055</v>
      </c>
    </row>
    <row r="38" spans="1:12" ht="20.100000000000001" customHeight="1" x14ac:dyDescent="0.25">
      <c r="A38" s="87" t="s">
        <v>34</v>
      </c>
      <c r="B38" s="152"/>
      <c r="C38" s="160"/>
      <c r="D38" s="152"/>
      <c r="E38" s="153"/>
      <c r="F38" s="152"/>
      <c r="G38" s="153"/>
      <c r="H38" s="152"/>
      <c r="I38" s="153"/>
      <c r="J38" s="154">
        <f t="shared" si="1"/>
        <v>0</v>
      </c>
      <c r="K38" s="142"/>
      <c r="L38" s="152"/>
    </row>
    <row r="39" spans="1:12" ht="20.100000000000001" customHeight="1" x14ac:dyDescent="0.25">
      <c r="A39" s="87" t="s">
        <v>35</v>
      </c>
      <c r="B39" s="152"/>
      <c r="C39" s="160"/>
      <c r="D39" s="152"/>
      <c r="E39" s="153"/>
      <c r="F39" s="152"/>
      <c r="G39" s="153"/>
      <c r="H39" s="152"/>
      <c r="I39" s="153"/>
      <c r="J39" s="154">
        <f t="shared" si="1"/>
        <v>0</v>
      </c>
      <c r="K39" s="142"/>
      <c r="L39" s="152"/>
    </row>
    <row r="40" spans="1:12" ht="20.100000000000001" customHeight="1" x14ac:dyDescent="0.25">
      <c r="A40" s="87" t="s">
        <v>103</v>
      </c>
      <c r="B40" s="152"/>
      <c r="C40" s="160"/>
      <c r="D40" s="152"/>
      <c r="E40" s="153"/>
      <c r="F40" s="152"/>
      <c r="G40" s="153"/>
      <c r="H40" s="152"/>
      <c r="I40" s="153"/>
      <c r="J40" s="154">
        <f t="shared" si="1"/>
        <v>0</v>
      </c>
      <c r="K40" s="142"/>
      <c r="L40" s="152"/>
    </row>
    <row r="41" spans="1:12" ht="20.100000000000001" customHeight="1" thickBot="1" x14ac:dyDescent="0.3">
      <c r="A41" s="86"/>
      <c r="B41" s="167"/>
      <c r="C41" s="160"/>
      <c r="D41" s="167"/>
      <c r="E41" s="153"/>
      <c r="F41" s="167"/>
      <c r="G41" s="153"/>
      <c r="H41" s="167"/>
      <c r="I41" s="153"/>
      <c r="J41" s="154">
        <f t="shared" si="1"/>
        <v>0</v>
      </c>
      <c r="K41" s="142"/>
      <c r="L41" s="167"/>
    </row>
    <row r="42" spans="1:12" ht="20.100000000000001" customHeight="1" thickTop="1" thickBot="1" x14ac:dyDescent="0.3">
      <c r="A42" s="13" t="s">
        <v>87</v>
      </c>
      <c r="B42" s="156">
        <f>SUM(B31:B41)</f>
        <v>12008.18</v>
      </c>
      <c r="C42" s="168"/>
      <c r="D42" s="156">
        <f>SUM(D31:D41)</f>
        <v>15192.87</v>
      </c>
      <c r="E42" s="153"/>
      <c r="F42" s="156">
        <f>SUM(F31:F41)</f>
        <v>0</v>
      </c>
      <c r="G42" s="153"/>
      <c r="H42" s="156">
        <f>SUM(H31:H41)</f>
        <v>0</v>
      </c>
      <c r="I42" s="153"/>
      <c r="J42" s="156">
        <f>SUM(J31:J41)</f>
        <v>27201.050000000003</v>
      </c>
      <c r="K42" s="142"/>
      <c r="L42" s="156">
        <f>SUM(L31:L41)</f>
        <v>32919</v>
      </c>
    </row>
    <row r="43" spans="1:12" s="14" customFormat="1" ht="17.25" customHeight="1" thickTop="1" x14ac:dyDescent="0.2">
      <c r="B43" s="35"/>
      <c r="C43" s="55"/>
      <c r="D43" s="56"/>
      <c r="E43" s="55"/>
      <c r="F43" s="55"/>
      <c r="G43" s="55"/>
      <c r="H43" s="55"/>
      <c r="I43" s="55"/>
      <c r="J43" s="55" t="str">
        <f>IF(B42+D42+F42+H42-J42=0," ","error")</f>
        <v xml:space="preserve"> </v>
      </c>
      <c r="K43" s="55"/>
      <c r="L43" s="55"/>
    </row>
    <row r="44" spans="1:12" ht="30" x14ac:dyDescent="0.25">
      <c r="A44" s="67" t="s">
        <v>66</v>
      </c>
      <c r="B44" s="159"/>
      <c r="C44" s="8"/>
      <c r="D44" s="8"/>
      <c r="E44" s="8"/>
      <c r="F44" s="8"/>
      <c r="G44" s="8"/>
      <c r="H44" s="8"/>
      <c r="I44" s="8"/>
      <c r="J44" s="8"/>
      <c r="K44" s="8"/>
    </row>
    <row r="45" spans="1:12" ht="20.100000000000001" customHeight="1" x14ac:dyDescent="0.25">
      <c r="A45" s="86" t="s">
        <v>36</v>
      </c>
      <c r="B45" s="152"/>
      <c r="C45" s="160"/>
      <c r="D45" s="152"/>
      <c r="E45" s="153"/>
      <c r="F45" s="152"/>
      <c r="G45" s="153"/>
      <c r="H45" s="152"/>
      <c r="I45" s="153"/>
      <c r="J45" s="154">
        <f>H45+D45+F45+B45</f>
        <v>0</v>
      </c>
      <c r="K45" s="142"/>
      <c r="L45" s="152"/>
    </row>
    <row r="46" spans="1:12" ht="20.100000000000001" customHeight="1" thickBot="1" x14ac:dyDescent="0.3">
      <c r="A46" s="86" t="s">
        <v>37</v>
      </c>
      <c r="B46" s="167"/>
      <c r="C46" s="160"/>
      <c r="D46" s="167"/>
      <c r="E46" s="153"/>
      <c r="F46" s="167"/>
      <c r="G46" s="153"/>
      <c r="H46" s="167"/>
      <c r="I46" s="153"/>
      <c r="J46" s="154">
        <f>H46+D46+F46+B46</f>
        <v>0</v>
      </c>
      <c r="K46" s="142"/>
      <c r="L46" s="167"/>
    </row>
    <row r="47" spans="1:12" ht="20.100000000000001" customHeight="1" thickTop="1" thickBot="1" x14ac:dyDescent="0.3">
      <c r="A47" s="13" t="s">
        <v>88</v>
      </c>
      <c r="B47" s="156">
        <f>SUM(B45:B46)</f>
        <v>0</v>
      </c>
      <c r="C47" s="168"/>
      <c r="D47" s="156">
        <f>SUM(D45:D46)</f>
        <v>0</v>
      </c>
      <c r="E47" s="153"/>
      <c r="F47" s="156">
        <f>SUM(F45:F46)</f>
        <v>0</v>
      </c>
      <c r="G47" s="153"/>
      <c r="H47" s="156">
        <f>SUM(H45:H46)</f>
        <v>0</v>
      </c>
      <c r="I47" s="153"/>
      <c r="J47" s="156">
        <f>SUM(J45:J46)</f>
        <v>0</v>
      </c>
      <c r="K47" s="142"/>
      <c r="L47" s="156">
        <f>SUM(L45:L46)</f>
        <v>0</v>
      </c>
    </row>
    <row r="48" spans="1:12" ht="13.5" customHeight="1" thickTop="1" thickBot="1" x14ac:dyDescent="0.25">
      <c r="B48" s="36"/>
      <c r="C48" s="54"/>
      <c r="D48" s="36"/>
      <c r="E48" s="54"/>
      <c r="F48" s="54"/>
      <c r="G48" s="54"/>
      <c r="H48" s="36"/>
      <c r="I48" s="54"/>
      <c r="J48" s="55" t="str">
        <f>IF(B47+D47+F47+H47-J47=0," ","error")</f>
        <v xml:space="preserve"> </v>
      </c>
      <c r="K48" s="54"/>
      <c r="L48" s="54"/>
    </row>
    <row r="49" spans="1:13" s="15" customFormat="1" ht="20.100000000000001" customHeight="1" thickTop="1" thickBot="1" x14ac:dyDescent="0.3">
      <c r="A49" s="39" t="s">
        <v>12</v>
      </c>
      <c r="B49" s="169">
        <f>+B47+B42</f>
        <v>12008.18</v>
      </c>
      <c r="C49" s="155"/>
      <c r="D49" s="169">
        <f>+D47+D42</f>
        <v>15192.87</v>
      </c>
      <c r="E49" s="155"/>
      <c r="F49" s="169">
        <f>+F47+F42</f>
        <v>0</v>
      </c>
      <c r="G49" s="155"/>
      <c r="H49" s="169">
        <f>+H47+H42</f>
        <v>0</v>
      </c>
      <c r="I49" s="155"/>
      <c r="J49" s="169">
        <f>+J47+J42</f>
        <v>27201.050000000003</v>
      </c>
      <c r="K49" s="155"/>
      <c r="L49" s="169">
        <f>+L47+L42</f>
        <v>32919</v>
      </c>
    </row>
    <row r="50" spans="1:13" ht="14.25" thickTop="1" thickBot="1" x14ac:dyDescent="0.25">
      <c r="B50" s="37"/>
      <c r="C50" s="57"/>
      <c r="D50" s="57"/>
      <c r="E50" s="57"/>
      <c r="F50" s="57"/>
      <c r="G50" s="57"/>
      <c r="H50" s="57"/>
      <c r="I50" s="57"/>
      <c r="J50" s="55" t="str">
        <f>IF(B49+D49+F49+H49-J49=0," ","error")</f>
        <v xml:space="preserve"> </v>
      </c>
      <c r="K50" s="58"/>
      <c r="L50" s="54"/>
    </row>
    <row r="51" spans="1:13" ht="20.100000000000001" customHeight="1" thickTop="1" thickBot="1" x14ac:dyDescent="0.3">
      <c r="A51" s="40" t="s">
        <v>90</v>
      </c>
      <c r="B51" s="131">
        <f>+B28-B49</f>
        <v>5414.4599999999991</v>
      </c>
      <c r="C51" s="88"/>
      <c r="D51" s="131">
        <f>+D28-D49</f>
        <v>3517.1600000000017</v>
      </c>
      <c r="E51" s="88"/>
      <c r="F51" s="131">
        <f>+F28-F49</f>
        <v>0</v>
      </c>
      <c r="G51" s="88"/>
      <c r="H51" s="131">
        <f>+H28-H49</f>
        <v>0</v>
      </c>
      <c r="I51" s="88"/>
      <c r="J51" s="132">
        <f>IF((B51+D51+F51+H51)=(+J28-J49),H51+F51+D51+B51,"Cross Add Error")</f>
        <v>8931.6200000000008</v>
      </c>
      <c r="K51" s="121"/>
      <c r="L51" s="131">
        <f>+L28-L49</f>
        <v>-10</v>
      </c>
      <c r="M51" s="89"/>
    </row>
    <row r="52" spans="1:13" ht="14.25" customHeight="1" thickBot="1" x14ac:dyDescent="0.3">
      <c r="A52" s="40"/>
      <c r="B52" s="177"/>
      <c r="C52" s="88"/>
      <c r="D52" s="177"/>
      <c r="E52" s="88"/>
      <c r="F52" s="177"/>
      <c r="G52" s="88"/>
      <c r="H52" s="177"/>
      <c r="I52" s="88"/>
      <c r="J52" s="177"/>
      <c r="K52" s="121"/>
      <c r="L52" s="177"/>
      <c r="M52" s="89"/>
    </row>
    <row r="53" spans="1:13" ht="19.5" customHeight="1" thickTop="1" thickBot="1" x14ac:dyDescent="0.3">
      <c r="A53" s="96" t="s">
        <v>102</v>
      </c>
      <c r="B53" s="141"/>
      <c r="C53" s="88"/>
      <c r="D53" s="141"/>
      <c r="E53" s="88"/>
      <c r="F53" s="141"/>
      <c r="G53" s="88"/>
      <c r="H53" s="141"/>
      <c r="I53" s="88"/>
      <c r="J53" s="130">
        <f>IF(H53+F53+D53+B53=0,0,"Transfer error")</f>
        <v>0</v>
      </c>
      <c r="K53" s="121"/>
      <c r="L53" s="141"/>
    </row>
    <row r="54" spans="1:13" ht="14.25" customHeight="1" thickTop="1" thickBot="1" x14ac:dyDescent="0.3">
      <c r="A54" s="11"/>
      <c r="B54" s="176"/>
      <c r="C54" s="88"/>
      <c r="D54" s="176"/>
      <c r="E54" s="88"/>
      <c r="F54" s="129"/>
      <c r="G54" s="88"/>
      <c r="H54" s="176"/>
      <c r="I54" s="88"/>
      <c r="J54" s="178"/>
      <c r="K54" s="121"/>
      <c r="L54" s="176"/>
    </row>
    <row r="55" spans="1:13" ht="29.25" customHeight="1" thickTop="1" thickBot="1" x14ac:dyDescent="0.3">
      <c r="A55" s="13" t="s">
        <v>41</v>
      </c>
      <c r="B55" s="128">
        <f>+B51+B53</f>
        <v>5414.4599999999991</v>
      </c>
      <c r="C55" s="88"/>
      <c r="D55" s="128">
        <f>+D51+D53</f>
        <v>3517.1600000000017</v>
      </c>
      <c r="E55" s="88"/>
      <c r="F55" s="128">
        <f>+F51+F53</f>
        <v>0</v>
      </c>
      <c r="G55" s="88"/>
      <c r="H55" s="128">
        <f>+H51+H53</f>
        <v>0</v>
      </c>
      <c r="I55" s="88"/>
      <c r="J55" s="128">
        <f>+J51+J53</f>
        <v>8931.6200000000008</v>
      </c>
      <c r="K55" s="121"/>
      <c r="L55" s="128">
        <f>+L51+L53</f>
        <v>-10</v>
      </c>
    </row>
    <row r="56" spans="1:13" ht="13.5" thickTop="1" x14ac:dyDescent="0.2">
      <c r="J56" s="55" t="str">
        <f>IF(B55+D55+H55-J55=0," ","error")</f>
        <v xml:space="preserve"> </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3"/>
  <sheetViews>
    <sheetView zoomScale="75" zoomScaleNormal="75" zoomScaleSheetLayoutView="80" workbookViewId="0">
      <pane ySplit="2" topLeftCell="A3" activePane="bottomLeft" state="frozen"/>
      <selection activeCell="D45" sqref="D45"/>
      <selection pane="bottomLeft" activeCell="S10" sqref="S10"/>
    </sheetView>
  </sheetViews>
  <sheetFormatPr defaultColWidth="9.140625" defaultRowHeight="12.75" x14ac:dyDescent="0.2"/>
  <cols>
    <col min="1" max="1" width="28.85546875" style="1" customWidth="1"/>
    <col min="2" max="2" width="19" style="30" customWidth="1"/>
    <col min="3" max="3" width="3.855468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0" width="15.5703125" style="1" customWidth="1"/>
    <col min="11" max="11" width="1.5703125" style="1" customWidth="1"/>
    <col min="12" max="12" width="14.7109375" style="1" customWidth="1"/>
    <col min="13" max="13" width="1.5703125" style="1" customWidth="1"/>
    <col min="14" max="14" width="14.7109375" style="1" customWidth="1"/>
    <col min="15" max="15" width="1.5703125" style="1" customWidth="1"/>
    <col min="16" max="16" width="14.7109375" style="1" customWidth="1"/>
    <col min="17" max="18" width="9.140625" style="1"/>
    <col min="19" max="19" width="13.28515625" style="1" customWidth="1"/>
    <col min="20" max="20" width="12.140625" style="1" customWidth="1"/>
    <col min="21" max="16384" width="9.140625" style="1"/>
  </cols>
  <sheetData>
    <row r="1" spans="1:19" ht="27" customHeight="1" x14ac:dyDescent="0.3">
      <c r="B1" s="180" t="str">
        <f>'R&amp;P Accounts'!B2</f>
        <v>Dyce and Stoneywood Community Association</v>
      </c>
      <c r="C1" s="180"/>
      <c r="D1" s="180"/>
      <c r="E1" s="180"/>
      <c r="F1" s="180"/>
      <c r="G1" s="180"/>
      <c r="H1" s="180"/>
      <c r="I1" s="180"/>
      <c r="J1" s="180"/>
      <c r="K1" s="180"/>
      <c r="L1" s="180"/>
      <c r="N1" s="180" t="str">
        <f>'R&amp;P Accounts'!L2</f>
        <v>SC049809</v>
      </c>
      <c r="O1" s="180"/>
      <c r="P1" s="180"/>
    </row>
    <row r="2" spans="1:19" s="46" customFormat="1" ht="26.25" customHeight="1" x14ac:dyDescent="0.2">
      <c r="A2" s="80" t="s">
        <v>101</v>
      </c>
      <c r="B2" s="43"/>
      <c r="C2" s="42"/>
      <c r="D2" s="42"/>
      <c r="E2" s="42"/>
      <c r="F2" s="222"/>
      <c r="G2" s="222"/>
      <c r="H2" s="222"/>
      <c r="I2" s="44"/>
      <c r="J2" s="44"/>
      <c r="K2" s="44"/>
      <c r="L2" s="45"/>
      <c r="M2" s="44"/>
      <c r="N2" s="45"/>
      <c r="O2" s="44"/>
      <c r="P2" s="45"/>
    </row>
    <row r="3" spans="1:19" ht="40.5" customHeight="1" x14ac:dyDescent="0.25">
      <c r="A3" s="50" t="s">
        <v>6</v>
      </c>
      <c r="B3" s="241" t="s">
        <v>5</v>
      </c>
      <c r="C3" s="241"/>
      <c r="D3" s="241"/>
      <c r="E3" s="18"/>
      <c r="F3" s="72" t="s">
        <v>2</v>
      </c>
      <c r="G3" s="15"/>
      <c r="H3" s="72" t="s">
        <v>3</v>
      </c>
      <c r="I3" s="82"/>
      <c r="J3" s="72" t="s">
        <v>79</v>
      </c>
      <c r="K3" s="82"/>
      <c r="L3" s="72" t="s">
        <v>81</v>
      </c>
      <c r="M3" s="82"/>
      <c r="N3" s="72" t="s">
        <v>75</v>
      </c>
      <c r="O3" s="82"/>
      <c r="P3" s="72" t="s">
        <v>76</v>
      </c>
    </row>
    <row r="4" spans="1:19" x14ac:dyDescent="0.2">
      <c r="B4" s="242"/>
      <c r="C4" s="242"/>
      <c r="D4" s="242"/>
      <c r="E4" s="68"/>
      <c r="F4" s="17" t="s">
        <v>4</v>
      </c>
      <c r="H4" s="17" t="s">
        <v>4</v>
      </c>
      <c r="I4" s="12"/>
      <c r="J4" s="17" t="s">
        <v>4</v>
      </c>
      <c r="K4" s="12"/>
      <c r="L4" s="17" t="s">
        <v>4</v>
      </c>
      <c r="M4" s="12"/>
      <c r="N4" s="17" t="s">
        <v>4</v>
      </c>
      <c r="O4" s="12"/>
      <c r="P4" s="17" t="s">
        <v>4</v>
      </c>
    </row>
    <row r="5" spans="1:19" ht="30" customHeight="1" x14ac:dyDescent="0.2">
      <c r="A5" s="228" t="s">
        <v>9</v>
      </c>
      <c r="B5" s="233" t="s">
        <v>39</v>
      </c>
      <c r="C5" s="233"/>
      <c r="D5" s="233"/>
      <c r="E5" s="23"/>
      <c r="F5" s="133">
        <v>55828.59</v>
      </c>
      <c r="G5" s="134"/>
      <c r="H5" s="133">
        <v>16899.326000000001</v>
      </c>
      <c r="I5" s="134"/>
      <c r="J5" s="133"/>
      <c r="K5" s="134"/>
      <c r="L5" s="133"/>
      <c r="M5" s="134"/>
      <c r="N5" s="135">
        <f>F5+H5+J5+L5</f>
        <v>72727.915999999997</v>
      </c>
      <c r="O5" s="134"/>
      <c r="P5" s="135">
        <v>73530.880000000005</v>
      </c>
    </row>
    <row r="6" spans="1:19" ht="30" customHeight="1" x14ac:dyDescent="0.2">
      <c r="A6" s="229"/>
      <c r="B6" s="233" t="s">
        <v>40</v>
      </c>
      <c r="C6" s="233"/>
      <c r="D6" s="233"/>
      <c r="E6" s="23"/>
      <c r="F6" s="133">
        <f>+'R&amp;P Accounts'!B51</f>
        <v>5414.4599999999991</v>
      </c>
      <c r="G6" s="134"/>
      <c r="H6" s="133">
        <f>+'R&amp;P Accounts'!D55</f>
        <v>3517.1600000000017</v>
      </c>
      <c r="I6" s="134"/>
      <c r="J6" s="133"/>
      <c r="K6" s="134"/>
      <c r="L6" s="133"/>
      <c r="M6" s="134"/>
      <c r="N6" s="135">
        <f>F6+H6+J6+L6</f>
        <v>8931.6200000000008</v>
      </c>
      <c r="O6" s="134"/>
      <c r="P6" s="135">
        <v>-10</v>
      </c>
    </row>
    <row r="7" spans="1:19" ht="26.25" customHeight="1" x14ac:dyDescent="0.2">
      <c r="A7" s="229"/>
      <c r="B7" s="223" t="s">
        <v>115</v>
      </c>
      <c r="C7" s="224"/>
      <c r="D7" s="225"/>
      <c r="E7" s="23"/>
      <c r="F7" s="136"/>
      <c r="G7" s="134"/>
      <c r="H7" s="136"/>
      <c r="I7" s="134"/>
      <c r="J7" s="136"/>
      <c r="K7" s="134"/>
      <c r="L7" s="136"/>
      <c r="M7" s="134"/>
      <c r="N7" s="135">
        <f>F7+H7+J7+L7</f>
        <v>0</v>
      </c>
      <c r="O7" s="134"/>
      <c r="P7" s="136">
        <v>-793</v>
      </c>
    </row>
    <row r="8" spans="1:19" ht="26.25" customHeight="1" thickBot="1" x14ac:dyDescent="0.25">
      <c r="A8" s="229"/>
      <c r="B8" s="233"/>
      <c r="C8" s="233"/>
      <c r="D8" s="233"/>
      <c r="E8" s="23"/>
      <c r="F8" s="137"/>
      <c r="G8" s="134"/>
      <c r="H8" s="137"/>
      <c r="I8" s="134"/>
      <c r="J8" s="137"/>
      <c r="K8" s="134"/>
      <c r="L8" s="137"/>
      <c r="M8" s="134"/>
      <c r="N8" s="138">
        <f>F8+H8+J8+L8</f>
        <v>0</v>
      </c>
      <c r="O8" s="134"/>
      <c r="P8" s="137"/>
    </row>
    <row r="9" spans="1:19" ht="30" customHeight="1" thickTop="1" thickBot="1" x14ac:dyDescent="0.25">
      <c r="B9" s="231" t="s">
        <v>38</v>
      </c>
      <c r="C9" s="231"/>
      <c r="D9" s="231"/>
      <c r="E9" s="41"/>
      <c r="F9" s="139">
        <f>SUM(F5:F8)</f>
        <v>61243.049999999996</v>
      </c>
      <c r="G9" s="122"/>
      <c r="H9" s="139">
        <f>SUM(H5:H8)</f>
        <v>20416.486000000004</v>
      </c>
      <c r="I9" s="100"/>
      <c r="J9" s="139">
        <f>SUM(J5:J8)</f>
        <v>0</v>
      </c>
      <c r="K9" s="100"/>
      <c r="L9" s="139">
        <f>SUM(L5:L8)</f>
        <v>0</v>
      </c>
      <c r="M9" s="240"/>
      <c r="N9" s="140">
        <f>F9+H9+J9+L9</f>
        <v>81659.535999999993</v>
      </c>
      <c r="O9" s="240"/>
      <c r="P9" s="139">
        <f>SUM(P5:P8)</f>
        <v>72727.88</v>
      </c>
      <c r="S9" s="290"/>
    </row>
    <row r="10" spans="1:19" ht="26.25" customHeight="1" thickTop="1" x14ac:dyDescent="0.2">
      <c r="B10" s="232" t="s">
        <v>77</v>
      </c>
      <c r="C10" s="232"/>
      <c r="D10" s="232"/>
      <c r="E10" s="22"/>
      <c r="F10" s="123">
        <f>F6-'R&amp;P Accounts'!B55</f>
        <v>0</v>
      </c>
      <c r="G10" s="100"/>
      <c r="H10" s="123">
        <f>H6-'R&amp;P Accounts'!D55</f>
        <v>0</v>
      </c>
      <c r="I10" s="100"/>
      <c r="J10" s="123">
        <f>J6-'R&amp;P Accounts'!F55</f>
        <v>0</v>
      </c>
      <c r="K10" s="100"/>
      <c r="L10" s="123">
        <f>L6-'R&amp;P Accounts'!H55</f>
        <v>0</v>
      </c>
      <c r="M10" s="240"/>
      <c r="N10" s="123">
        <f>N6-'R&amp;P Accounts'!J55</f>
        <v>0</v>
      </c>
      <c r="O10" s="240"/>
      <c r="P10" s="123">
        <f>P6-'R&amp;P Accounts'!L55</f>
        <v>0</v>
      </c>
    </row>
    <row r="11" spans="1:19" x14ac:dyDescent="0.2">
      <c r="B11" s="234"/>
      <c r="C11" s="234"/>
      <c r="D11" s="234"/>
      <c r="E11" s="19"/>
      <c r="G11" s="227"/>
      <c r="I11" s="227"/>
      <c r="J11" s="12"/>
      <c r="K11" s="12"/>
      <c r="M11" s="227"/>
      <c r="O11" s="227"/>
    </row>
    <row r="12" spans="1:19" ht="30.75" customHeight="1" x14ac:dyDescent="0.25">
      <c r="B12" s="221" t="s">
        <v>20</v>
      </c>
      <c r="C12" s="221"/>
      <c r="D12" s="221"/>
      <c r="E12" s="20"/>
      <c r="G12" s="227"/>
      <c r="H12" s="5"/>
      <c r="I12" s="227"/>
      <c r="J12" s="214" t="s">
        <v>14</v>
      </c>
      <c r="K12" s="214"/>
      <c r="L12" s="214"/>
      <c r="M12" s="227"/>
      <c r="N12" s="5" t="s">
        <v>45</v>
      </c>
      <c r="O12" s="227"/>
      <c r="P12" s="5" t="s">
        <v>10</v>
      </c>
    </row>
    <row r="13" spans="1:19" s="61" customFormat="1" x14ac:dyDescent="0.2">
      <c r="B13" s="236"/>
      <c r="C13" s="236"/>
      <c r="D13" s="236"/>
      <c r="E13" s="62"/>
      <c r="F13" s="63"/>
      <c r="H13" s="63"/>
      <c r="I13" s="64"/>
      <c r="J13" s="64"/>
      <c r="K13" s="64"/>
      <c r="M13" s="64"/>
      <c r="N13" s="17" t="s">
        <v>4</v>
      </c>
      <c r="O13" s="12"/>
      <c r="P13" s="17" t="s">
        <v>4</v>
      </c>
    </row>
    <row r="14" spans="1:19" ht="20.100000000000001" customHeight="1" x14ac:dyDescent="0.2">
      <c r="A14" s="228" t="s">
        <v>42</v>
      </c>
      <c r="B14" s="226"/>
      <c r="C14" s="226"/>
      <c r="D14" s="226"/>
      <c r="E14" s="24"/>
      <c r="G14" s="227"/>
      <c r="I14" s="12"/>
      <c r="J14" s="202"/>
      <c r="K14" s="203"/>
      <c r="L14" s="204"/>
      <c r="M14" s="18"/>
      <c r="N14" s="124"/>
      <c r="O14" s="100"/>
      <c r="P14" s="124"/>
    </row>
    <row r="15" spans="1:19" ht="20.100000000000001" customHeight="1" x14ac:dyDescent="0.2">
      <c r="A15" s="229"/>
      <c r="B15" s="226"/>
      <c r="C15" s="226"/>
      <c r="D15" s="226"/>
      <c r="E15" s="24"/>
      <c r="G15" s="227"/>
      <c r="H15" s="5"/>
      <c r="I15" s="12"/>
      <c r="J15" s="202"/>
      <c r="K15" s="203"/>
      <c r="L15" s="204"/>
      <c r="M15" s="18"/>
      <c r="N15" s="124"/>
      <c r="O15" s="100"/>
      <c r="P15" s="124"/>
    </row>
    <row r="16" spans="1:19" ht="20.100000000000001" customHeight="1" x14ac:dyDescent="0.2">
      <c r="A16" s="229"/>
      <c r="B16" s="226"/>
      <c r="C16" s="226"/>
      <c r="D16" s="226"/>
      <c r="E16" s="24"/>
      <c r="F16" s="12"/>
      <c r="G16" s="12"/>
      <c r="H16" s="59"/>
      <c r="I16" s="12"/>
      <c r="J16" s="202"/>
      <c r="K16" s="203"/>
      <c r="L16" s="204"/>
      <c r="M16" s="18"/>
      <c r="N16" s="124"/>
      <c r="O16" s="100"/>
      <c r="P16" s="124"/>
    </row>
    <row r="17" spans="1:20" ht="20.100000000000001" customHeight="1" x14ac:dyDescent="0.2">
      <c r="A17" s="229"/>
      <c r="B17" s="226"/>
      <c r="C17" s="226"/>
      <c r="D17" s="226"/>
      <c r="E17" s="24"/>
      <c r="F17" s="12"/>
      <c r="G17" s="12"/>
      <c r="H17" s="59"/>
      <c r="I17" s="12"/>
      <c r="J17" s="202"/>
      <c r="K17" s="203"/>
      <c r="L17" s="204"/>
      <c r="M17" s="18"/>
      <c r="N17" s="124"/>
      <c r="O17" s="100"/>
      <c r="P17" s="124"/>
    </row>
    <row r="18" spans="1:20" ht="20.100000000000001" customHeight="1" thickBot="1" x14ac:dyDescent="0.25">
      <c r="A18" s="229"/>
      <c r="B18" s="226"/>
      <c r="C18" s="226"/>
      <c r="D18" s="226"/>
      <c r="E18" s="24"/>
      <c r="F18" s="12"/>
      <c r="G18" s="12"/>
      <c r="H18" s="59"/>
      <c r="I18" s="12"/>
      <c r="J18" s="202"/>
      <c r="K18" s="203"/>
      <c r="L18" s="204"/>
      <c r="M18" s="18"/>
      <c r="N18" s="125"/>
      <c r="O18" s="100"/>
      <c r="P18" s="125"/>
    </row>
    <row r="19" spans="1:20" ht="20.100000000000001" customHeight="1" thickBot="1" x14ac:dyDescent="0.25">
      <c r="A19" s="70"/>
      <c r="B19" s="71"/>
      <c r="C19" s="71"/>
      <c r="D19" s="71"/>
      <c r="E19" s="24"/>
      <c r="F19" s="12"/>
      <c r="G19" s="12"/>
      <c r="H19" s="59"/>
      <c r="I19" s="12"/>
      <c r="K19" s="12"/>
      <c r="L19" s="83" t="s">
        <v>83</v>
      </c>
      <c r="M19" s="18"/>
      <c r="N19" s="126">
        <f>SUM(N14:N18)</f>
        <v>0</v>
      </c>
      <c r="O19" s="100"/>
      <c r="P19" s="126">
        <f>SUM(P14:P18)</f>
        <v>0</v>
      </c>
    </row>
    <row r="20" spans="1:20" x14ac:dyDescent="0.2">
      <c r="B20" s="230"/>
      <c r="C20" s="230"/>
      <c r="D20" s="230"/>
      <c r="E20" s="12"/>
      <c r="G20" s="12"/>
      <c r="I20" s="12"/>
      <c r="J20" s="12"/>
      <c r="K20" s="12"/>
      <c r="L20" s="17"/>
      <c r="M20" s="12"/>
      <c r="N20" s="17"/>
      <c r="O20" s="12"/>
      <c r="P20" s="17"/>
    </row>
    <row r="21" spans="1:20" ht="27" customHeight="1" x14ac:dyDescent="0.25">
      <c r="B21" s="221" t="s">
        <v>20</v>
      </c>
      <c r="C21" s="221"/>
      <c r="D21" s="221"/>
      <c r="E21" s="21"/>
      <c r="G21" s="12"/>
      <c r="H21" s="214" t="s">
        <v>14</v>
      </c>
      <c r="I21" s="214"/>
      <c r="J21" s="214"/>
      <c r="K21" s="12"/>
      <c r="L21" s="5" t="s">
        <v>46</v>
      </c>
      <c r="M21" s="12"/>
      <c r="N21" s="5" t="s">
        <v>54</v>
      </c>
      <c r="O21" s="12"/>
      <c r="P21" s="5" t="s">
        <v>10</v>
      </c>
    </row>
    <row r="22" spans="1:20" s="61" customFormat="1" x14ac:dyDescent="0.2">
      <c r="B22" s="236"/>
      <c r="C22" s="236"/>
      <c r="D22" s="236"/>
      <c r="E22" s="62"/>
      <c r="I22" s="64"/>
      <c r="J22" s="63"/>
      <c r="K22" s="64"/>
      <c r="L22" s="17" t="s">
        <v>4</v>
      </c>
      <c r="M22" s="12"/>
      <c r="N22" s="17" t="s">
        <v>4</v>
      </c>
      <c r="O22" s="12"/>
      <c r="P22" s="17" t="s">
        <v>4</v>
      </c>
    </row>
    <row r="23" spans="1:20" ht="20.100000000000001" customHeight="1" x14ac:dyDescent="0.2">
      <c r="A23" s="228" t="s">
        <v>43</v>
      </c>
      <c r="B23" s="226" t="s">
        <v>111</v>
      </c>
      <c r="C23" s="226"/>
      <c r="D23" s="226"/>
      <c r="E23" s="24"/>
      <c r="G23" s="12"/>
      <c r="H23" s="215" t="s">
        <v>114</v>
      </c>
      <c r="I23" s="216"/>
      <c r="J23" s="217"/>
      <c r="K23" s="18"/>
      <c r="L23" s="124">
        <v>14460</v>
      </c>
      <c r="M23" s="100"/>
      <c r="N23" s="124">
        <f>+P23-2892</f>
        <v>753.68000000000029</v>
      </c>
      <c r="O23" s="100"/>
      <c r="P23" s="124">
        <v>3645.6800000000003</v>
      </c>
      <c r="S23" s="179"/>
      <c r="T23" s="179"/>
    </row>
    <row r="24" spans="1:20" ht="20.100000000000001" customHeight="1" x14ac:dyDescent="0.2">
      <c r="A24" s="229"/>
      <c r="B24" s="226" t="s">
        <v>112</v>
      </c>
      <c r="C24" s="226"/>
      <c r="D24" s="226"/>
      <c r="E24" s="24"/>
      <c r="G24" s="12"/>
      <c r="H24" s="215" t="s">
        <v>114</v>
      </c>
      <c r="I24" s="216"/>
      <c r="J24" s="217"/>
      <c r="K24" s="18"/>
      <c r="L24" s="124">
        <v>12545</v>
      </c>
      <c r="M24" s="100"/>
      <c r="N24" s="124">
        <f>+P24-P24*7%</f>
        <v>3427.6592430000001</v>
      </c>
      <c r="O24" s="100"/>
      <c r="P24" s="124">
        <v>3685.6550999999999</v>
      </c>
      <c r="S24" s="179"/>
    </row>
    <row r="25" spans="1:20" ht="20.100000000000001" customHeight="1" x14ac:dyDescent="0.2">
      <c r="A25" s="229"/>
      <c r="B25" s="226" t="s">
        <v>113</v>
      </c>
      <c r="C25" s="226"/>
      <c r="D25" s="226"/>
      <c r="E25" s="24"/>
      <c r="G25" s="12"/>
      <c r="H25" s="215" t="s">
        <v>114</v>
      </c>
      <c r="I25" s="216"/>
      <c r="J25" s="217"/>
      <c r="K25" s="18"/>
      <c r="L25" s="124">
        <v>34113</v>
      </c>
      <c r="M25" s="100"/>
      <c r="N25" s="124">
        <f>+P25-P25*20%</f>
        <v>6586.7071999999998</v>
      </c>
      <c r="O25" s="100"/>
      <c r="P25" s="124">
        <v>8233.384</v>
      </c>
      <c r="S25" s="179"/>
    </row>
    <row r="26" spans="1:20" ht="20.100000000000001" customHeight="1" x14ac:dyDescent="0.2">
      <c r="A26" s="229"/>
      <c r="B26" s="226"/>
      <c r="C26" s="226"/>
      <c r="D26" s="226"/>
      <c r="E26" s="24"/>
      <c r="G26" s="12"/>
      <c r="H26" s="215"/>
      <c r="I26" s="216"/>
      <c r="J26" s="217"/>
      <c r="K26" s="18"/>
      <c r="L26" s="124"/>
      <c r="M26" s="100"/>
      <c r="N26" s="124"/>
      <c r="O26" s="100"/>
      <c r="P26" s="124"/>
    </row>
    <row r="27" spans="1:20" ht="20.100000000000001" customHeight="1" x14ac:dyDescent="0.2">
      <c r="A27" s="229"/>
      <c r="B27" s="226"/>
      <c r="C27" s="226"/>
      <c r="D27" s="226"/>
      <c r="E27" s="24"/>
      <c r="G27" s="12"/>
      <c r="H27" s="215"/>
      <c r="I27" s="216"/>
      <c r="J27" s="217"/>
      <c r="K27" s="18"/>
      <c r="L27" s="124"/>
      <c r="M27" s="100"/>
      <c r="N27" s="124"/>
      <c r="O27" s="100"/>
      <c r="P27" s="124"/>
    </row>
    <row r="28" spans="1:20" ht="20.100000000000001" customHeight="1" x14ac:dyDescent="0.2">
      <c r="A28" s="229"/>
      <c r="B28" s="226"/>
      <c r="C28" s="226"/>
      <c r="D28" s="226"/>
      <c r="E28" s="24"/>
      <c r="G28" s="12"/>
      <c r="H28" s="215"/>
      <c r="I28" s="216"/>
      <c r="J28" s="217"/>
      <c r="K28" s="18"/>
      <c r="L28" s="124"/>
      <c r="M28" s="100"/>
      <c r="N28" s="124"/>
      <c r="O28" s="100"/>
      <c r="P28" s="124"/>
    </row>
    <row r="29" spans="1:20" ht="20.100000000000001" customHeight="1" x14ac:dyDescent="0.2">
      <c r="A29" s="229"/>
      <c r="B29" s="226"/>
      <c r="C29" s="226"/>
      <c r="D29" s="226"/>
      <c r="E29" s="24"/>
      <c r="G29" s="12"/>
      <c r="H29" s="215"/>
      <c r="I29" s="216"/>
      <c r="J29" s="217"/>
      <c r="K29" s="18"/>
      <c r="L29" s="124"/>
      <c r="M29" s="100"/>
      <c r="N29" s="124"/>
      <c r="O29" s="100"/>
      <c r="P29" s="124"/>
    </row>
    <row r="30" spans="1:20" ht="20.100000000000001" customHeight="1" x14ac:dyDescent="0.2">
      <c r="A30" s="229"/>
      <c r="B30" s="226"/>
      <c r="C30" s="226"/>
      <c r="D30" s="226"/>
      <c r="E30" s="24"/>
      <c r="G30" s="12"/>
      <c r="H30" s="215"/>
      <c r="I30" s="216"/>
      <c r="J30" s="217"/>
      <c r="K30" s="18"/>
      <c r="L30" s="124"/>
      <c r="M30" s="100"/>
      <c r="N30" s="124"/>
      <c r="O30" s="100"/>
      <c r="P30" s="124"/>
    </row>
    <row r="31" spans="1:20" ht="20.100000000000001" customHeight="1" thickBot="1" x14ac:dyDescent="0.25">
      <c r="A31" s="229"/>
      <c r="B31" s="226"/>
      <c r="C31" s="226"/>
      <c r="D31" s="226"/>
      <c r="E31" s="24"/>
      <c r="G31" s="12"/>
      <c r="H31" s="215"/>
      <c r="I31" s="216"/>
      <c r="J31" s="217"/>
      <c r="K31" s="18"/>
      <c r="L31" s="125"/>
      <c r="M31" s="100"/>
      <c r="N31" s="125"/>
      <c r="O31" s="100"/>
      <c r="P31" s="125"/>
    </row>
    <row r="32" spans="1:20" ht="20.100000000000001" customHeight="1" thickBot="1" x14ac:dyDescent="0.25">
      <c r="A32" s="70"/>
      <c r="B32" s="71"/>
      <c r="C32" s="71"/>
      <c r="D32" s="71"/>
      <c r="E32" s="24"/>
      <c r="G32" s="12"/>
      <c r="I32" s="12"/>
      <c r="J32" s="72" t="s">
        <v>84</v>
      </c>
      <c r="K32" s="12"/>
      <c r="L32" s="126">
        <f>SUM(L23:L31)</f>
        <v>61118</v>
      </c>
      <c r="M32" s="100"/>
      <c r="N32" s="126">
        <f>SUM(N23:N31)</f>
        <v>10768.046442999999</v>
      </c>
      <c r="O32" s="100"/>
      <c r="P32" s="126">
        <f>SUM(P23:P31)</f>
        <v>15564.7191</v>
      </c>
    </row>
    <row r="33" spans="1:16" ht="10.5" customHeight="1" x14ac:dyDescent="0.2">
      <c r="B33" s="234"/>
      <c r="C33" s="234"/>
      <c r="D33" s="234"/>
      <c r="E33" s="237"/>
      <c r="G33" s="237"/>
      <c r="H33" s="17"/>
      <c r="I33" s="227"/>
      <c r="J33" s="12"/>
      <c r="K33" s="12"/>
      <c r="L33" s="66"/>
      <c r="M33" s="227"/>
      <c r="N33" s="66"/>
      <c r="O33" s="235"/>
      <c r="P33" s="66"/>
    </row>
    <row r="34" spans="1:16" ht="19.5" customHeight="1" x14ac:dyDescent="0.25">
      <c r="B34" s="221" t="s">
        <v>20</v>
      </c>
      <c r="C34" s="221"/>
      <c r="D34" s="221"/>
      <c r="E34" s="237"/>
      <c r="G34" s="237"/>
      <c r="H34" s="17"/>
      <c r="I34" s="227"/>
      <c r="J34" s="214" t="s">
        <v>15</v>
      </c>
      <c r="K34" s="214"/>
      <c r="L34" s="214"/>
      <c r="M34" s="227"/>
      <c r="N34" s="5" t="s">
        <v>55</v>
      </c>
      <c r="O34" s="235"/>
      <c r="P34" s="5" t="s">
        <v>10</v>
      </c>
    </row>
    <row r="35" spans="1:16" s="61" customFormat="1" x14ac:dyDescent="0.2">
      <c r="B35" s="236"/>
      <c r="C35" s="236"/>
      <c r="D35" s="236"/>
      <c r="E35" s="62"/>
      <c r="F35" s="1"/>
      <c r="H35" s="63"/>
      <c r="I35" s="64"/>
      <c r="J35" s="64"/>
      <c r="K35" s="64"/>
      <c r="M35" s="64"/>
      <c r="N35" s="17" t="s">
        <v>4</v>
      </c>
      <c r="O35" s="12"/>
      <c r="P35" s="17" t="s">
        <v>4</v>
      </c>
    </row>
    <row r="36" spans="1:16" ht="20.100000000000001" customHeight="1" x14ac:dyDescent="0.2">
      <c r="A36" s="228" t="s">
        <v>44</v>
      </c>
      <c r="B36" s="226"/>
      <c r="C36" s="226"/>
      <c r="D36" s="226"/>
      <c r="E36" s="24"/>
      <c r="G36" s="12"/>
      <c r="H36" s="17"/>
      <c r="I36" s="12"/>
      <c r="J36" s="218"/>
      <c r="K36" s="219"/>
      <c r="L36" s="220"/>
      <c r="M36" s="12"/>
      <c r="N36" s="114"/>
      <c r="O36" s="121"/>
      <c r="P36" s="114"/>
    </row>
    <row r="37" spans="1:16" ht="20.100000000000001" customHeight="1" x14ac:dyDescent="0.2">
      <c r="A37" s="229"/>
      <c r="B37" s="226"/>
      <c r="C37" s="226"/>
      <c r="D37" s="226"/>
      <c r="E37" s="24"/>
      <c r="G37" s="12"/>
      <c r="H37" s="17"/>
      <c r="I37" s="12"/>
      <c r="J37" s="218"/>
      <c r="K37" s="219"/>
      <c r="L37" s="220"/>
      <c r="M37" s="12"/>
      <c r="N37" s="114"/>
      <c r="O37" s="121"/>
      <c r="P37" s="114"/>
    </row>
    <row r="38" spans="1:16" ht="20.100000000000001" customHeight="1" x14ac:dyDescent="0.2">
      <c r="A38" s="229"/>
      <c r="B38" s="226"/>
      <c r="C38" s="226"/>
      <c r="D38" s="226"/>
      <c r="E38" s="24"/>
      <c r="G38" s="12"/>
      <c r="H38" s="17"/>
      <c r="I38" s="12"/>
      <c r="J38" s="218"/>
      <c r="K38" s="219"/>
      <c r="L38" s="220"/>
      <c r="M38" s="12"/>
      <c r="N38" s="114"/>
      <c r="O38" s="121"/>
      <c r="P38" s="114"/>
    </row>
    <row r="39" spans="1:16" ht="20.100000000000001" customHeight="1" x14ac:dyDescent="0.2">
      <c r="A39" s="229"/>
      <c r="B39" s="226"/>
      <c r="C39" s="226"/>
      <c r="D39" s="226"/>
      <c r="E39" s="24"/>
      <c r="G39" s="12"/>
      <c r="H39" s="17"/>
      <c r="I39" s="12"/>
      <c r="J39" s="218"/>
      <c r="K39" s="219"/>
      <c r="L39" s="220"/>
      <c r="M39" s="12"/>
      <c r="N39" s="114"/>
      <c r="O39" s="121"/>
      <c r="P39" s="114"/>
    </row>
    <row r="40" spans="1:16" ht="20.100000000000001" customHeight="1" thickBot="1" x14ac:dyDescent="0.25">
      <c r="A40" s="229"/>
      <c r="B40" s="226"/>
      <c r="C40" s="226"/>
      <c r="D40" s="226"/>
      <c r="E40" s="24"/>
      <c r="G40" s="12"/>
      <c r="H40" s="17"/>
      <c r="I40" s="12"/>
      <c r="J40" s="218"/>
      <c r="K40" s="219"/>
      <c r="L40" s="220"/>
      <c r="M40" s="12"/>
      <c r="N40" s="170"/>
      <c r="O40" s="121"/>
      <c r="P40" s="170"/>
    </row>
    <row r="41" spans="1:16" ht="20.100000000000001" customHeight="1" thickBot="1" x14ac:dyDescent="0.25">
      <c r="A41" s="70"/>
      <c r="B41" s="71"/>
      <c r="C41" s="71"/>
      <c r="D41" s="71"/>
      <c r="E41" s="24"/>
      <c r="G41" s="12"/>
      <c r="H41" s="17"/>
      <c r="I41" s="12"/>
      <c r="K41" s="12"/>
      <c r="L41" s="72" t="s">
        <v>84</v>
      </c>
      <c r="M41" s="12"/>
      <c r="N41" s="171">
        <f>SUM(N36:N40)</f>
        <v>0</v>
      </c>
      <c r="O41" s="121"/>
      <c r="P41" s="171">
        <f>SUM(P36:P40)</f>
        <v>0</v>
      </c>
    </row>
    <row r="42" spans="1:16" x14ac:dyDescent="0.2">
      <c r="A42" s="16"/>
      <c r="B42" s="38"/>
      <c r="C42" s="12"/>
      <c r="D42" s="12"/>
      <c r="E42" s="12"/>
      <c r="F42" s="12"/>
      <c r="G42" s="12"/>
      <c r="H42" s="12"/>
      <c r="I42" s="12"/>
      <c r="J42" s="12"/>
      <c r="K42" s="12"/>
      <c r="M42" s="12"/>
      <c r="O42" s="12"/>
    </row>
    <row r="43" spans="1:16" ht="24" x14ac:dyDescent="0.25">
      <c r="B43" s="221" t="s">
        <v>20</v>
      </c>
      <c r="C43" s="221"/>
      <c r="D43" s="221"/>
      <c r="E43" s="12"/>
      <c r="G43" s="12"/>
      <c r="H43" s="12"/>
      <c r="I43" s="12"/>
      <c r="J43" s="214" t="s">
        <v>15</v>
      </c>
      <c r="K43" s="214"/>
      <c r="L43" s="214"/>
      <c r="M43" s="12"/>
      <c r="N43" s="17" t="s">
        <v>56</v>
      </c>
      <c r="O43" s="12"/>
      <c r="P43" s="5" t="s">
        <v>10</v>
      </c>
    </row>
    <row r="44" spans="1:16" s="61" customFormat="1" x14ac:dyDescent="0.2">
      <c r="B44" s="236"/>
      <c r="C44" s="236"/>
      <c r="D44" s="236"/>
      <c r="E44" s="62"/>
      <c r="F44" s="63"/>
      <c r="H44" s="63"/>
      <c r="I44" s="64"/>
      <c r="J44" s="64"/>
      <c r="K44" s="64"/>
      <c r="L44" s="63"/>
      <c r="M44" s="64"/>
      <c r="N44" s="17" t="s">
        <v>4</v>
      </c>
      <c r="O44" s="12"/>
      <c r="P44" s="17" t="s">
        <v>4</v>
      </c>
    </row>
    <row r="45" spans="1:16" ht="20.100000000000001" customHeight="1" x14ac:dyDescent="0.2">
      <c r="A45" s="228" t="s">
        <v>69</v>
      </c>
      <c r="B45" s="226"/>
      <c r="C45" s="226"/>
      <c r="D45" s="226"/>
      <c r="E45" s="24"/>
      <c r="G45" s="12"/>
      <c r="H45" s="12"/>
      <c r="I45" s="12"/>
      <c r="J45" s="218"/>
      <c r="K45" s="219"/>
      <c r="L45" s="220"/>
      <c r="M45" s="12"/>
      <c r="N45" s="101"/>
      <c r="O45" s="100"/>
      <c r="P45" s="101"/>
    </row>
    <row r="46" spans="1:16" ht="20.100000000000001" customHeight="1" x14ac:dyDescent="0.2">
      <c r="A46" s="229"/>
      <c r="B46" s="226"/>
      <c r="C46" s="226"/>
      <c r="D46" s="226"/>
      <c r="E46" s="24"/>
      <c r="G46" s="12"/>
      <c r="H46" s="12"/>
      <c r="I46" s="12"/>
      <c r="J46" s="218"/>
      <c r="K46" s="219"/>
      <c r="L46" s="220"/>
      <c r="M46" s="12"/>
      <c r="N46" s="101"/>
      <c r="O46" s="100"/>
      <c r="P46" s="101"/>
    </row>
    <row r="47" spans="1:16" ht="20.100000000000001" customHeight="1" thickBot="1" x14ac:dyDescent="0.25">
      <c r="A47" s="229"/>
      <c r="B47" s="226"/>
      <c r="C47" s="226"/>
      <c r="D47" s="226"/>
      <c r="E47" s="24"/>
      <c r="G47" s="12"/>
      <c r="H47" s="12"/>
      <c r="I47" s="12"/>
      <c r="J47" s="218"/>
      <c r="K47" s="219"/>
      <c r="L47" s="220"/>
      <c r="M47" s="12"/>
      <c r="N47" s="127"/>
      <c r="O47" s="100"/>
      <c r="P47" s="127"/>
    </row>
    <row r="48" spans="1:16" ht="20.100000000000001" customHeight="1" thickBot="1" x14ac:dyDescent="0.25">
      <c r="A48" s="70"/>
      <c r="B48" s="71"/>
      <c r="C48" s="71"/>
      <c r="D48" s="71"/>
      <c r="E48" s="24"/>
      <c r="G48" s="12"/>
      <c r="H48" s="12"/>
      <c r="I48" s="12"/>
      <c r="K48" s="12"/>
      <c r="L48" s="72" t="s">
        <v>84</v>
      </c>
      <c r="M48" s="12"/>
      <c r="N48" s="126">
        <f>SUM(N45:N47)</f>
        <v>0</v>
      </c>
      <c r="O48" s="100"/>
      <c r="P48" s="126">
        <f>SUM(P45:P47)</f>
        <v>0</v>
      </c>
    </row>
    <row r="49" spans="1:16" x14ac:dyDescent="0.2">
      <c r="A49" s="16"/>
      <c r="B49" s="38"/>
      <c r="C49" s="12"/>
      <c r="D49" s="12"/>
      <c r="E49" s="12"/>
      <c r="F49" s="12"/>
      <c r="G49" s="12"/>
      <c r="H49" s="12"/>
      <c r="I49" s="12"/>
      <c r="J49" s="12"/>
      <c r="K49" s="12"/>
      <c r="M49" s="12"/>
      <c r="O49" s="12"/>
    </row>
    <row r="50" spans="1:16" ht="40.5" customHeight="1" x14ac:dyDescent="0.25">
      <c r="A50" s="73" t="s">
        <v>78</v>
      </c>
      <c r="B50" s="238" t="s">
        <v>16</v>
      </c>
      <c r="C50" s="238"/>
      <c r="D50" s="238"/>
      <c r="E50" s="238"/>
      <c r="F50" s="238"/>
      <c r="G50" s="74"/>
      <c r="H50" s="239" t="s">
        <v>17</v>
      </c>
      <c r="I50" s="239"/>
      <c r="J50" s="239"/>
      <c r="K50" s="239"/>
      <c r="L50" s="239"/>
      <c r="M50" s="75"/>
      <c r="N50" s="75"/>
      <c r="O50" s="76"/>
      <c r="P50" s="77" t="s">
        <v>18</v>
      </c>
    </row>
    <row r="51" spans="1:16" ht="33.75" customHeight="1" x14ac:dyDescent="0.2">
      <c r="A51" s="51"/>
      <c r="B51" s="205"/>
      <c r="C51" s="206"/>
      <c r="D51" s="206"/>
      <c r="E51" s="206"/>
      <c r="F51" s="207"/>
      <c r="G51" s="65"/>
      <c r="H51" s="205"/>
      <c r="I51" s="206"/>
      <c r="J51" s="206"/>
      <c r="K51" s="206"/>
      <c r="L51" s="206"/>
      <c r="M51" s="206"/>
      <c r="N51" s="207"/>
      <c r="P51" s="78"/>
    </row>
    <row r="52" spans="1:16" ht="33.75" customHeight="1" x14ac:dyDescent="0.2">
      <c r="A52" s="51"/>
      <c r="B52" s="208"/>
      <c r="C52" s="209"/>
      <c r="D52" s="209"/>
      <c r="E52" s="209"/>
      <c r="F52" s="210"/>
      <c r="G52" s="65"/>
      <c r="H52" s="211"/>
      <c r="I52" s="212"/>
      <c r="J52" s="212"/>
      <c r="K52" s="212"/>
      <c r="L52" s="212"/>
      <c r="M52" s="212"/>
      <c r="N52" s="213"/>
      <c r="P52" s="79"/>
    </row>
    <row r="53" spans="1:16" ht="14.25" x14ac:dyDescent="0.2">
      <c r="F53" s="65"/>
      <c r="G53" s="65"/>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23" zoomScale="85" zoomScaleNormal="85" zoomScaleSheetLayoutView="80" workbookViewId="0">
      <selection activeCell="B46" sqref="B46:K55"/>
    </sheetView>
  </sheetViews>
  <sheetFormatPr defaultColWidth="9.140625" defaultRowHeight="12.75" x14ac:dyDescent="0.2"/>
  <cols>
    <col min="1" max="1" width="31.7109375" style="1" customWidth="1"/>
    <col min="2" max="2" width="15.42578125" style="30" customWidth="1"/>
    <col min="3" max="3" width="1.71093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1" width="14.7109375" style="1" customWidth="1"/>
    <col min="12" max="16384" width="9.140625" style="1"/>
  </cols>
  <sheetData>
    <row r="1" spans="1:12" ht="27.75" customHeight="1" x14ac:dyDescent="0.3">
      <c r="B1" s="180" t="str">
        <f>'R&amp;P Accounts'!B2</f>
        <v>Dyce and Stoneywood Community Association</v>
      </c>
      <c r="C1" s="180"/>
      <c r="D1" s="180"/>
      <c r="E1" s="180"/>
      <c r="F1" s="180"/>
      <c r="G1" s="180"/>
      <c r="H1" s="180"/>
      <c r="I1" s="180"/>
      <c r="J1" s="180"/>
      <c r="K1" s="183" t="str">
        <f>'R&amp;P Accounts'!L2</f>
        <v>SC049809</v>
      </c>
      <c r="L1" s="183"/>
    </row>
    <row r="2" spans="1:12" ht="10.5" customHeight="1" x14ac:dyDescent="0.2">
      <c r="A2" s="182"/>
      <c r="B2" s="182"/>
      <c r="C2" s="182"/>
      <c r="D2" s="182"/>
      <c r="E2" s="182"/>
      <c r="F2" s="182"/>
      <c r="G2" s="182"/>
      <c r="H2" s="182"/>
      <c r="I2" s="182"/>
      <c r="J2" s="182"/>
      <c r="K2" s="182"/>
    </row>
    <row r="3" spans="1:12" s="46" customFormat="1" ht="26.25" customHeight="1" x14ac:dyDescent="0.2">
      <c r="A3" s="42" t="s">
        <v>91</v>
      </c>
      <c r="B3" s="43"/>
      <c r="C3" s="42"/>
      <c r="D3" s="42"/>
      <c r="E3" s="42"/>
      <c r="F3" s="42"/>
      <c r="G3" s="184"/>
      <c r="H3" s="184"/>
      <c r="I3" s="184"/>
      <c r="J3" s="184"/>
      <c r="K3" s="81"/>
    </row>
    <row r="4" spans="1:12" ht="15" customHeight="1" x14ac:dyDescent="0.2">
      <c r="A4" s="182"/>
      <c r="B4" s="182"/>
      <c r="C4" s="182"/>
      <c r="D4" s="182"/>
      <c r="E4" s="182"/>
      <c r="F4" s="182"/>
      <c r="G4" s="182"/>
      <c r="H4" s="182"/>
      <c r="I4" s="182"/>
      <c r="J4" s="182"/>
      <c r="K4" s="182"/>
    </row>
    <row r="5" spans="1:12" ht="20.100000000000001" customHeight="1" x14ac:dyDescent="0.2">
      <c r="A5" s="257" t="s">
        <v>92</v>
      </c>
      <c r="B5" s="260" t="s">
        <v>116</v>
      </c>
      <c r="C5" s="261"/>
      <c r="D5" s="261"/>
      <c r="E5" s="261"/>
      <c r="F5" s="261"/>
      <c r="G5" s="261"/>
      <c r="H5" s="261"/>
      <c r="I5" s="261"/>
      <c r="J5" s="261"/>
      <c r="K5" s="262"/>
    </row>
    <row r="6" spans="1:12" ht="20.100000000000001" customHeight="1" x14ac:dyDescent="0.2">
      <c r="A6" s="258"/>
      <c r="B6" s="263"/>
      <c r="C6" s="264"/>
      <c r="D6" s="264"/>
      <c r="E6" s="264"/>
      <c r="F6" s="264"/>
      <c r="G6" s="264"/>
      <c r="H6" s="264"/>
      <c r="I6" s="264"/>
      <c r="J6" s="264"/>
      <c r="K6" s="265"/>
    </row>
    <row r="7" spans="1:12" ht="29.25" customHeight="1" x14ac:dyDescent="0.2">
      <c r="A7" s="258"/>
      <c r="B7" s="263"/>
      <c r="C7" s="264"/>
      <c r="D7" s="264"/>
      <c r="E7" s="264"/>
      <c r="F7" s="264"/>
      <c r="G7" s="264"/>
      <c r="H7" s="264"/>
      <c r="I7" s="264"/>
      <c r="J7" s="264"/>
      <c r="K7" s="265"/>
    </row>
    <row r="8" spans="1:12" ht="41.25" customHeight="1" x14ac:dyDescent="0.2">
      <c r="A8" s="258"/>
      <c r="B8" s="263"/>
      <c r="C8" s="264"/>
      <c r="D8" s="264"/>
      <c r="E8" s="264"/>
      <c r="F8" s="264"/>
      <c r="G8" s="264"/>
      <c r="H8" s="264"/>
      <c r="I8" s="264"/>
      <c r="J8" s="264"/>
      <c r="K8" s="265"/>
    </row>
    <row r="9" spans="1:12" ht="64.5" customHeight="1" x14ac:dyDescent="0.2">
      <c r="A9" s="258"/>
      <c r="B9" s="266"/>
      <c r="C9" s="267"/>
      <c r="D9" s="267"/>
      <c r="E9" s="267"/>
      <c r="F9" s="267"/>
      <c r="G9" s="267"/>
      <c r="H9" s="267"/>
      <c r="I9" s="267"/>
      <c r="J9" s="267"/>
      <c r="K9" s="268"/>
    </row>
    <row r="10" spans="1:12" x14ac:dyDescent="0.2">
      <c r="A10" s="237"/>
      <c r="B10" s="237"/>
      <c r="C10" s="237"/>
      <c r="D10" s="237"/>
      <c r="E10" s="237"/>
      <c r="F10" s="237"/>
      <c r="G10" s="237"/>
      <c r="H10" s="237"/>
      <c r="I10" s="237"/>
      <c r="J10" s="237"/>
      <c r="K10" s="237"/>
    </row>
    <row r="11" spans="1:12" ht="27" customHeight="1" x14ac:dyDescent="0.2">
      <c r="B11" s="269" t="s">
        <v>49</v>
      </c>
      <c r="C11" s="269"/>
      <c r="D11" s="269"/>
      <c r="E11" s="269"/>
      <c r="F11" s="269"/>
      <c r="G11" s="12"/>
      <c r="H11" s="17" t="s">
        <v>48</v>
      </c>
      <c r="I11" s="12"/>
      <c r="J11" s="17" t="s">
        <v>89</v>
      </c>
      <c r="K11" s="17" t="s">
        <v>47</v>
      </c>
    </row>
    <row r="12" spans="1:12" ht="20.100000000000001" customHeight="1" x14ac:dyDescent="0.25">
      <c r="A12" s="257" t="s">
        <v>58</v>
      </c>
      <c r="B12" s="245"/>
      <c r="C12" s="246"/>
      <c r="D12" s="246"/>
      <c r="E12" s="246"/>
      <c r="F12" s="247"/>
      <c r="G12" s="18"/>
      <c r="H12" s="147"/>
      <c r="I12" s="148"/>
      <c r="J12" s="149"/>
      <c r="K12" s="150"/>
    </row>
    <row r="13" spans="1:12" ht="20.100000000000001" customHeight="1" x14ac:dyDescent="0.25">
      <c r="A13" s="258"/>
      <c r="B13" s="245"/>
      <c r="C13" s="246"/>
      <c r="D13" s="246"/>
      <c r="E13" s="246"/>
      <c r="F13" s="247"/>
      <c r="G13" s="18"/>
      <c r="H13" s="147"/>
      <c r="I13" s="148"/>
      <c r="J13" s="149"/>
      <c r="K13" s="150"/>
    </row>
    <row r="14" spans="1:12" ht="20.100000000000001" customHeight="1" x14ac:dyDescent="0.25">
      <c r="A14" s="258"/>
      <c r="B14" s="245"/>
      <c r="C14" s="246"/>
      <c r="D14" s="246"/>
      <c r="E14" s="246"/>
      <c r="F14" s="247"/>
      <c r="G14" s="18"/>
      <c r="H14" s="147"/>
      <c r="I14" s="148"/>
      <c r="J14" s="149"/>
      <c r="K14" s="150"/>
    </row>
    <row r="15" spans="1:12" ht="20.100000000000001" customHeight="1" x14ac:dyDescent="0.25">
      <c r="A15" s="258"/>
      <c r="B15" s="245"/>
      <c r="C15" s="246"/>
      <c r="D15" s="246"/>
      <c r="E15" s="246"/>
      <c r="F15" s="247"/>
      <c r="G15" s="18"/>
      <c r="H15" s="147"/>
      <c r="I15" s="148"/>
      <c r="J15" s="149"/>
      <c r="K15" s="150"/>
    </row>
    <row r="16" spans="1:12" ht="20.100000000000001" customHeight="1" x14ac:dyDescent="0.25">
      <c r="A16" s="258"/>
      <c r="B16" s="248"/>
      <c r="C16" s="249"/>
      <c r="D16" s="249"/>
      <c r="E16" s="249"/>
      <c r="F16" s="250"/>
      <c r="G16" s="18"/>
      <c r="H16" s="147"/>
      <c r="I16" s="148"/>
      <c r="J16" s="149"/>
      <c r="K16" s="151"/>
    </row>
    <row r="17" spans="1:11" ht="20.25" customHeight="1" x14ac:dyDescent="0.25">
      <c r="A17" s="12"/>
      <c r="B17" s="259" t="s">
        <v>83</v>
      </c>
      <c r="C17" s="259"/>
      <c r="D17" s="259"/>
      <c r="E17" s="259"/>
      <c r="F17" s="259"/>
      <c r="G17" s="259"/>
      <c r="H17" s="259"/>
      <c r="I17" s="259"/>
      <c r="J17" s="259"/>
      <c r="K17" s="172">
        <f>SUM(K12:K16)</f>
        <v>0</v>
      </c>
    </row>
    <row r="18" spans="1:11" ht="15.75" customHeight="1" x14ac:dyDescent="0.2">
      <c r="A18" s="12"/>
      <c r="B18" s="12"/>
      <c r="C18" s="12"/>
      <c r="D18" s="12"/>
      <c r="E18" s="12"/>
      <c r="F18" s="12"/>
      <c r="G18" s="12"/>
      <c r="H18" s="12"/>
      <c r="I18" s="12"/>
      <c r="J18" s="12"/>
      <c r="K18" s="12"/>
    </row>
    <row r="19" spans="1:11" ht="20.100000000000001" customHeight="1" x14ac:dyDescent="0.2">
      <c r="A19" s="60" t="s">
        <v>59</v>
      </c>
      <c r="B19" s="251" t="s">
        <v>94</v>
      </c>
      <c r="C19" s="252"/>
      <c r="D19" s="252"/>
      <c r="E19" s="252"/>
      <c r="F19" s="252"/>
      <c r="G19" s="252"/>
      <c r="H19" s="252"/>
      <c r="I19" s="252"/>
      <c r="J19" s="253"/>
      <c r="K19" s="274"/>
    </row>
    <row r="20" spans="1:11" ht="17.25" customHeight="1" x14ac:dyDescent="0.2">
      <c r="A20" s="16"/>
      <c r="B20" s="254"/>
      <c r="C20" s="255"/>
      <c r="D20" s="255"/>
      <c r="E20" s="255"/>
      <c r="F20" s="255"/>
      <c r="G20" s="255"/>
      <c r="H20" s="255"/>
      <c r="I20" s="255"/>
      <c r="J20" s="256"/>
      <c r="K20" s="275"/>
    </row>
    <row r="21" spans="1:11" ht="12.75" customHeight="1" x14ac:dyDescent="0.2">
      <c r="A21" s="237"/>
      <c r="B21" s="237"/>
      <c r="C21" s="237"/>
      <c r="D21" s="237"/>
      <c r="E21" s="237"/>
      <c r="F21" s="237"/>
      <c r="G21" s="237"/>
      <c r="H21" s="237"/>
      <c r="I21" s="237"/>
      <c r="J21" s="237"/>
      <c r="K21" s="237"/>
    </row>
    <row r="22" spans="1:11" ht="27" customHeight="1" x14ac:dyDescent="0.2">
      <c r="B22" s="269" t="s">
        <v>50</v>
      </c>
      <c r="C22" s="269"/>
      <c r="D22" s="269"/>
      <c r="E22" s="269"/>
      <c r="F22" s="269"/>
      <c r="G22" s="269"/>
      <c r="H22" s="269"/>
      <c r="I22" s="269"/>
      <c r="J22" s="269"/>
      <c r="K22" s="17" t="s">
        <v>47</v>
      </c>
    </row>
    <row r="23" spans="1:11" ht="19.5" customHeight="1" x14ac:dyDescent="0.2">
      <c r="A23" s="257" t="s">
        <v>60</v>
      </c>
      <c r="B23" s="245"/>
      <c r="C23" s="246"/>
      <c r="D23" s="246"/>
      <c r="E23" s="246"/>
      <c r="F23" s="246"/>
      <c r="G23" s="246"/>
      <c r="H23" s="246"/>
      <c r="I23" s="246"/>
      <c r="J23" s="247"/>
      <c r="K23" s="90"/>
    </row>
    <row r="24" spans="1:11" ht="20.100000000000001" customHeight="1" x14ac:dyDescent="0.2">
      <c r="A24" s="258"/>
      <c r="B24" s="245"/>
      <c r="C24" s="246"/>
      <c r="D24" s="246"/>
      <c r="E24" s="246"/>
      <c r="F24" s="246"/>
      <c r="G24" s="246"/>
      <c r="H24" s="246"/>
      <c r="I24" s="246"/>
      <c r="J24" s="247"/>
      <c r="K24" s="90"/>
    </row>
    <row r="25" spans="1:11" ht="20.100000000000001" customHeight="1" x14ac:dyDescent="0.2">
      <c r="A25" s="258"/>
      <c r="B25" s="245"/>
      <c r="C25" s="246"/>
      <c r="D25" s="246"/>
      <c r="E25" s="246"/>
      <c r="F25" s="246"/>
      <c r="G25" s="246"/>
      <c r="H25" s="246"/>
      <c r="I25" s="246"/>
      <c r="J25" s="247"/>
      <c r="K25" s="90"/>
    </row>
    <row r="26" spans="1:11" ht="20.100000000000001" customHeight="1" x14ac:dyDescent="0.2">
      <c r="A26" s="258"/>
      <c r="B26" s="245"/>
      <c r="C26" s="246"/>
      <c r="D26" s="246"/>
      <c r="E26" s="246"/>
      <c r="F26" s="246"/>
      <c r="G26" s="246"/>
      <c r="H26" s="246"/>
      <c r="I26" s="246"/>
      <c r="J26" s="247"/>
      <c r="K26" s="90"/>
    </row>
    <row r="27" spans="1:11" ht="20.100000000000001" customHeight="1" x14ac:dyDescent="0.2">
      <c r="A27" s="258"/>
      <c r="B27" s="248"/>
      <c r="C27" s="249"/>
      <c r="D27" s="249"/>
      <c r="E27" s="249"/>
      <c r="F27" s="249"/>
      <c r="G27" s="249"/>
      <c r="H27" s="249"/>
      <c r="I27" s="249"/>
      <c r="J27" s="250"/>
      <c r="K27" s="90"/>
    </row>
    <row r="28" spans="1:11" x14ac:dyDescent="0.2">
      <c r="A28" s="237"/>
      <c r="B28" s="237"/>
      <c r="C28" s="237"/>
      <c r="D28" s="237"/>
      <c r="E28" s="237"/>
      <c r="F28" s="237"/>
      <c r="G28" s="237"/>
      <c r="H28" s="237"/>
      <c r="I28" s="237"/>
      <c r="J28" s="237"/>
      <c r="K28" s="237"/>
    </row>
    <row r="29" spans="1:11" ht="20.100000000000001" customHeight="1" x14ac:dyDescent="0.2">
      <c r="A29" s="60" t="s">
        <v>61</v>
      </c>
      <c r="B29" s="251" t="s">
        <v>95</v>
      </c>
      <c r="C29" s="252"/>
      <c r="D29" s="252"/>
      <c r="E29" s="252"/>
      <c r="F29" s="252"/>
      <c r="G29" s="252"/>
      <c r="H29" s="252"/>
      <c r="I29" s="252"/>
      <c r="J29" s="253"/>
      <c r="K29" s="243" t="s">
        <v>144</v>
      </c>
    </row>
    <row r="30" spans="1:11" ht="17.25" customHeight="1" x14ac:dyDescent="0.2">
      <c r="A30" s="16"/>
      <c r="B30" s="254"/>
      <c r="C30" s="255"/>
      <c r="D30" s="255"/>
      <c r="E30" s="255"/>
      <c r="F30" s="255"/>
      <c r="G30" s="255"/>
      <c r="H30" s="255"/>
      <c r="I30" s="255"/>
      <c r="J30" s="256"/>
      <c r="K30" s="244"/>
    </row>
    <row r="31" spans="1:11" ht="12.75" customHeight="1" x14ac:dyDescent="0.2">
      <c r="A31" s="237"/>
      <c r="B31" s="237"/>
      <c r="C31" s="237"/>
      <c r="D31" s="237"/>
      <c r="E31" s="237"/>
      <c r="F31" s="237"/>
      <c r="G31" s="237"/>
      <c r="H31" s="237"/>
      <c r="I31" s="237"/>
      <c r="J31" s="237"/>
      <c r="K31" s="237"/>
    </row>
    <row r="32" spans="1:11" ht="27" customHeight="1" x14ac:dyDescent="0.2">
      <c r="A32" s="182"/>
      <c r="B32" s="182"/>
      <c r="C32" s="182"/>
      <c r="D32" s="182"/>
      <c r="E32" s="182"/>
      <c r="F32" s="182"/>
      <c r="G32" s="182"/>
      <c r="H32" s="182"/>
      <c r="I32" s="12"/>
      <c r="J32" s="17" t="s">
        <v>82</v>
      </c>
      <c r="K32" s="17" t="s">
        <v>47</v>
      </c>
    </row>
    <row r="33" spans="1:11" ht="20.100000000000001" customHeight="1" x14ac:dyDescent="0.2">
      <c r="A33" s="257" t="s">
        <v>62</v>
      </c>
      <c r="B33" s="245"/>
      <c r="C33" s="246"/>
      <c r="D33" s="246"/>
      <c r="E33" s="246"/>
      <c r="F33" s="246"/>
      <c r="G33" s="246"/>
      <c r="H33" s="247"/>
      <c r="I33" s="18"/>
      <c r="J33" s="90"/>
      <c r="K33" s="90"/>
    </row>
    <row r="34" spans="1:11" ht="20.100000000000001" customHeight="1" x14ac:dyDescent="0.2">
      <c r="A34" s="258"/>
      <c r="B34" s="245"/>
      <c r="C34" s="246"/>
      <c r="D34" s="246"/>
      <c r="E34" s="246"/>
      <c r="F34" s="246"/>
      <c r="G34" s="246"/>
      <c r="H34" s="247"/>
      <c r="I34" s="18"/>
      <c r="J34" s="90"/>
      <c r="K34" s="90"/>
    </row>
    <row r="35" spans="1:11" ht="20.100000000000001" customHeight="1" x14ac:dyDescent="0.2">
      <c r="A35" s="258"/>
      <c r="B35" s="245"/>
      <c r="C35" s="246"/>
      <c r="D35" s="246"/>
      <c r="E35" s="246"/>
      <c r="F35" s="246"/>
      <c r="G35" s="246"/>
      <c r="H35" s="247"/>
      <c r="I35" s="18"/>
      <c r="J35" s="90"/>
      <c r="K35" s="90"/>
    </row>
    <row r="36" spans="1:11" ht="20.100000000000001" customHeight="1" x14ac:dyDescent="0.2">
      <c r="A36" s="258"/>
      <c r="B36" s="245"/>
      <c r="C36" s="246"/>
      <c r="D36" s="246"/>
      <c r="E36" s="246"/>
      <c r="F36" s="246"/>
      <c r="G36" s="246"/>
      <c r="H36" s="247"/>
      <c r="I36" s="18"/>
      <c r="J36" s="90"/>
      <c r="K36" s="90"/>
    </row>
    <row r="37" spans="1:11" ht="20.100000000000001" customHeight="1" x14ac:dyDescent="0.2">
      <c r="A37" s="258"/>
      <c r="B37" s="248"/>
      <c r="C37" s="249"/>
      <c r="D37" s="249"/>
      <c r="E37" s="249"/>
      <c r="F37" s="249"/>
      <c r="G37" s="249"/>
      <c r="H37" s="250"/>
      <c r="I37" s="18"/>
      <c r="J37" s="90"/>
      <c r="K37" s="90"/>
    </row>
    <row r="38" spans="1:11" x14ac:dyDescent="0.2">
      <c r="A38" s="237"/>
      <c r="B38" s="237"/>
      <c r="C38" s="237"/>
      <c r="D38" s="237"/>
      <c r="E38" s="237"/>
      <c r="F38" s="237"/>
      <c r="G38" s="237"/>
      <c r="H38" s="237"/>
      <c r="I38" s="237"/>
      <c r="J38" s="237"/>
      <c r="K38" s="237"/>
    </row>
    <row r="39" spans="1:11" ht="36" x14ac:dyDescent="0.25">
      <c r="B39" s="273" t="s">
        <v>51</v>
      </c>
      <c r="C39" s="273"/>
      <c r="D39" s="273"/>
      <c r="E39" s="12"/>
      <c r="F39" s="273" t="s">
        <v>57</v>
      </c>
      <c r="G39" s="273"/>
      <c r="H39" s="273"/>
      <c r="I39" s="12"/>
      <c r="J39" s="17" t="s">
        <v>52</v>
      </c>
      <c r="K39" s="17" t="s">
        <v>53</v>
      </c>
    </row>
    <row r="40" spans="1:11" ht="20.100000000000001" customHeight="1" x14ac:dyDescent="0.2">
      <c r="A40" s="257" t="s">
        <v>63</v>
      </c>
      <c r="B40" s="245"/>
      <c r="C40" s="246"/>
      <c r="D40" s="247"/>
      <c r="E40" s="91"/>
      <c r="F40" s="270"/>
      <c r="G40" s="271"/>
      <c r="H40" s="272"/>
      <c r="I40" s="18"/>
      <c r="J40" s="90"/>
      <c r="K40" s="90"/>
    </row>
    <row r="41" spans="1:11" ht="20.100000000000001" customHeight="1" x14ac:dyDescent="0.2">
      <c r="A41" s="258"/>
      <c r="B41" s="248"/>
      <c r="C41" s="249"/>
      <c r="D41" s="250"/>
      <c r="E41" s="91"/>
      <c r="F41" s="270"/>
      <c r="G41" s="271"/>
      <c r="H41" s="272"/>
      <c r="I41" s="18"/>
      <c r="J41" s="90"/>
      <c r="K41" s="90"/>
    </row>
    <row r="42" spans="1:11" ht="20.100000000000001" customHeight="1" x14ac:dyDescent="0.2">
      <c r="A42" s="258"/>
      <c r="B42" s="245"/>
      <c r="C42" s="246"/>
      <c r="D42" s="247"/>
      <c r="E42" s="91"/>
      <c r="F42" s="270"/>
      <c r="G42" s="271"/>
      <c r="H42" s="272"/>
      <c r="I42" s="18"/>
      <c r="J42" s="90"/>
      <c r="K42" s="90"/>
    </row>
    <row r="43" spans="1:11" ht="20.100000000000001" customHeight="1" x14ac:dyDescent="0.2">
      <c r="A43" s="258"/>
      <c r="B43" s="245"/>
      <c r="C43" s="246"/>
      <c r="D43" s="247"/>
      <c r="E43" s="91"/>
      <c r="F43" s="270"/>
      <c r="G43" s="271"/>
      <c r="H43" s="272"/>
      <c r="I43" s="18"/>
      <c r="J43" s="90"/>
      <c r="K43" s="90"/>
    </row>
    <row r="44" spans="1:11" ht="20.100000000000001" customHeight="1" x14ac:dyDescent="0.2">
      <c r="A44" s="258"/>
      <c r="B44" s="248"/>
      <c r="C44" s="249"/>
      <c r="D44" s="250"/>
      <c r="E44" s="91"/>
      <c r="F44" s="270"/>
      <c r="G44" s="271"/>
      <c r="H44" s="272"/>
      <c r="I44" s="18"/>
      <c r="J44" s="90"/>
      <c r="K44" s="90"/>
    </row>
    <row r="45" spans="1:11" x14ac:dyDescent="0.2">
      <c r="A45" s="182"/>
      <c r="B45" s="286"/>
      <c r="C45" s="286"/>
      <c r="D45" s="286"/>
      <c r="E45" s="286"/>
      <c r="F45" s="286"/>
      <c r="G45" s="286"/>
      <c r="H45" s="286"/>
      <c r="I45" s="286"/>
      <c r="J45" s="286"/>
      <c r="K45" s="286"/>
    </row>
    <row r="46" spans="1:11" ht="19.5" customHeight="1" x14ac:dyDescent="0.2">
      <c r="A46" s="276" t="s">
        <v>64</v>
      </c>
      <c r="B46" s="277"/>
      <c r="C46" s="278"/>
      <c r="D46" s="278"/>
      <c r="E46" s="278"/>
      <c r="F46" s="278"/>
      <c r="G46" s="278"/>
      <c r="H46" s="278"/>
      <c r="I46" s="278"/>
      <c r="J46" s="278"/>
      <c r="K46" s="279"/>
    </row>
    <row r="47" spans="1:11" ht="19.5" customHeight="1" x14ac:dyDescent="0.2">
      <c r="A47" s="276"/>
      <c r="B47" s="280"/>
      <c r="C47" s="281"/>
      <c r="D47" s="281"/>
      <c r="E47" s="281"/>
      <c r="F47" s="281"/>
      <c r="G47" s="281"/>
      <c r="H47" s="281"/>
      <c r="I47" s="281"/>
      <c r="J47" s="281"/>
      <c r="K47" s="282"/>
    </row>
    <row r="48" spans="1:11" ht="19.5" customHeight="1" x14ac:dyDescent="0.2">
      <c r="A48" s="276"/>
      <c r="B48" s="280"/>
      <c r="C48" s="281"/>
      <c r="D48" s="281"/>
      <c r="E48" s="281"/>
      <c r="F48" s="281"/>
      <c r="G48" s="281"/>
      <c r="H48" s="281"/>
      <c r="I48" s="281"/>
      <c r="J48" s="281"/>
      <c r="K48" s="282"/>
    </row>
    <row r="49" spans="1:11" ht="19.5" customHeight="1" x14ac:dyDescent="0.2">
      <c r="A49" s="276"/>
      <c r="B49" s="280"/>
      <c r="C49" s="281"/>
      <c r="D49" s="281"/>
      <c r="E49" s="281"/>
      <c r="F49" s="281"/>
      <c r="G49" s="281"/>
      <c r="H49" s="281"/>
      <c r="I49" s="281"/>
      <c r="J49" s="281"/>
      <c r="K49" s="282"/>
    </row>
    <row r="50" spans="1:11" ht="10.5" customHeight="1" x14ac:dyDescent="0.2">
      <c r="A50" s="276"/>
      <c r="B50" s="280"/>
      <c r="C50" s="281"/>
      <c r="D50" s="281"/>
      <c r="E50" s="281"/>
      <c r="F50" s="281"/>
      <c r="G50" s="281"/>
      <c r="H50" s="281"/>
      <c r="I50" s="281"/>
      <c r="J50" s="281"/>
      <c r="K50" s="282"/>
    </row>
    <row r="51" spans="1:11" ht="11.25" customHeight="1" x14ac:dyDescent="0.2">
      <c r="A51" s="276"/>
      <c r="B51" s="280"/>
      <c r="C51" s="281"/>
      <c r="D51" s="281"/>
      <c r="E51" s="281"/>
      <c r="F51" s="281"/>
      <c r="G51" s="281"/>
      <c r="H51" s="281"/>
      <c r="I51" s="281"/>
      <c r="J51" s="281"/>
      <c r="K51" s="282"/>
    </row>
    <row r="52" spans="1:11" ht="12.75" customHeight="1" x14ac:dyDescent="0.2">
      <c r="A52" s="276"/>
      <c r="B52" s="280"/>
      <c r="C52" s="281"/>
      <c r="D52" s="281"/>
      <c r="E52" s="281"/>
      <c r="F52" s="281"/>
      <c r="G52" s="281"/>
      <c r="H52" s="281"/>
      <c r="I52" s="281"/>
      <c r="J52" s="281"/>
      <c r="K52" s="282"/>
    </row>
    <row r="53" spans="1:11" ht="5.25" customHeight="1" x14ac:dyDescent="0.2">
      <c r="A53" s="276"/>
      <c r="B53" s="280"/>
      <c r="C53" s="281"/>
      <c r="D53" s="281"/>
      <c r="E53" s="281"/>
      <c r="F53" s="281"/>
      <c r="G53" s="281"/>
      <c r="H53" s="281"/>
      <c r="I53" s="281"/>
      <c r="J53" s="281"/>
      <c r="K53" s="282"/>
    </row>
    <row r="54" spans="1:11" ht="4.5" customHeight="1" x14ac:dyDescent="0.2">
      <c r="A54" s="276"/>
      <c r="B54" s="280"/>
      <c r="C54" s="281"/>
      <c r="D54" s="281"/>
      <c r="E54" s="281"/>
      <c r="F54" s="281"/>
      <c r="G54" s="281"/>
      <c r="H54" s="281"/>
      <c r="I54" s="281"/>
      <c r="J54" s="281"/>
      <c r="K54" s="282"/>
    </row>
    <row r="55" spans="1:11" ht="4.5" customHeight="1" x14ac:dyDescent="0.2">
      <c r="A55" s="276"/>
      <c r="B55" s="283"/>
      <c r="C55" s="284"/>
      <c r="D55" s="284"/>
      <c r="E55" s="284"/>
      <c r="F55" s="284"/>
      <c r="G55" s="284"/>
      <c r="H55" s="284"/>
      <c r="I55" s="284"/>
      <c r="J55" s="284"/>
      <c r="K55" s="285"/>
    </row>
    <row r="56" spans="1:11" x14ac:dyDescent="0.2">
      <c r="B56" s="52"/>
    </row>
  </sheetData>
  <mergeCells count="54">
    <mergeCell ref="F44:H44"/>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 ref="B15:F15"/>
    <mergeCell ref="F40:H40"/>
    <mergeCell ref="B34:H34"/>
    <mergeCell ref="B35:H35"/>
    <mergeCell ref="B36:H36"/>
    <mergeCell ref="B37:H37"/>
    <mergeCell ref="B33:H33"/>
    <mergeCell ref="B16:F16"/>
    <mergeCell ref="B39:D39"/>
    <mergeCell ref="F39:H39"/>
    <mergeCell ref="A38:K38"/>
    <mergeCell ref="A32:H32"/>
    <mergeCell ref="A31:K31"/>
    <mergeCell ref="A33:A37"/>
    <mergeCell ref="B17:J17"/>
    <mergeCell ref="B19:J20"/>
    <mergeCell ref="B14:F14"/>
    <mergeCell ref="K1:L1"/>
    <mergeCell ref="G3:J3"/>
    <mergeCell ref="A10:K10"/>
    <mergeCell ref="B1:J1"/>
    <mergeCell ref="A4:K4"/>
    <mergeCell ref="A5:A9"/>
    <mergeCell ref="A2:K2"/>
    <mergeCell ref="B5:K9"/>
    <mergeCell ref="B11:F11"/>
    <mergeCell ref="A12:A16"/>
    <mergeCell ref="B12:F12"/>
    <mergeCell ref="B13:F13"/>
    <mergeCell ref="K29:K30"/>
    <mergeCell ref="A28:K28"/>
    <mergeCell ref="B23:J23"/>
    <mergeCell ref="B24:J24"/>
    <mergeCell ref="B25:J25"/>
    <mergeCell ref="B26:J26"/>
    <mergeCell ref="B27:J27"/>
    <mergeCell ref="B29:J30"/>
    <mergeCell ref="A23:A27"/>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03"/>
  <sheetViews>
    <sheetView zoomScale="80" workbookViewId="0">
      <selection activeCell="K63" sqref="K63"/>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180" t="str">
        <f>'R&amp;P Accounts'!B2</f>
        <v>Dyce and Stoneywood Community Association</v>
      </c>
      <c r="D1" s="180"/>
      <c r="E1" s="180"/>
      <c r="F1" s="180"/>
      <c r="G1" s="180"/>
      <c r="H1" s="180"/>
      <c r="I1" s="180"/>
      <c r="J1" s="180"/>
      <c r="K1" s="180"/>
      <c r="M1" s="183" t="str">
        <f>'R&amp;P Accounts'!L2</f>
        <v>SC049809</v>
      </c>
      <c r="N1" s="183"/>
    </row>
    <row r="2" spans="1:14" ht="10.5" customHeight="1" x14ac:dyDescent="0.2">
      <c r="A2" s="104"/>
      <c r="B2" s="104"/>
      <c r="C2" s="104"/>
      <c r="D2" s="104"/>
      <c r="E2" s="104"/>
      <c r="F2" s="104"/>
      <c r="G2" s="104"/>
      <c r="H2" s="104"/>
      <c r="I2" s="104"/>
      <c r="J2" s="104"/>
      <c r="K2" s="104"/>
      <c r="L2" s="104"/>
    </row>
    <row r="3" spans="1:14" s="46" customFormat="1" ht="26.25" customHeight="1" x14ac:dyDescent="0.2">
      <c r="A3" s="42" t="s">
        <v>93</v>
      </c>
      <c r="B3" s="42"/>
      <c r="C3" s="43"/>
      <c r="D3" s="42"/>
      <c r="E3" s="42"/>
      <c r="F3" s="42"/>
      <c r="G3" s="42"/>
      <c r="H3" s="103"/>
      <c r="I3" s="103"/>
      <c r="J3" s="103"/>
      <c r="K3" s="103"/>
      <c r="L3" s="81"/>
      <c r="M3" s="45"/>
    </row>
    <row r="4" spans="1:14" ht="15" customHeight="1" x14ac:dyDescent="0.2">
      <c r="A4" s="182"/>
      <c r="B4" s="182"/>
      <c r="C4" s="182"/>
      <c r="D4" s="182"/>
      <c r="E4" s="182"/>
      <c r="F4" s="182"/>
      <c r="G4" s="182"/>
      <c r="H4" s="182"/>
      <c r="I4" s="182"/>
      <c r="J4" s="182"/>
      <c r="K4" s="182"/>
      <c r="L4" s="182"/>
    </row>
    <row r="5" spans="1:14" ht="20.100000000000001" customHeight="1" x14ac:dyDescent="0.2">
      <c r="A5" s="181" t="s">
        <v>107</v>
      </c>
      <c r="B5" s="181"/>
      <c r="C5" s="181"/>
      <c r="D5" s="181"/>
      <c r="E5" s="181"/>
      <c r="F5" s="181"/>
      <c r="G5" s="181"/>
      <c r="H5" s="181"/>
      <c r="I5" s="181"/>
      <c r="J5" s="181"/>
      <c r="K5" s="181"/>
      <c r="L5" s="181"/>
    </row>
    <row r="6" spans="1:14" ht="20.100000000000001" customHeight="1" x14ac:dyDescent="0.2">
      <c r="A6" s="60"/>
      <c r="B6" s="60"/>
      <c r="C6" s="60"/>
      <c r="D6" s="60"/>
      <c r="E6" s="60"/>
      <c r="F6" s="60"/>
      <c r="G6" s="60"/>
      <c r="H6" s="60"/>
      <c r="I6" s="60"/>
      <c r="J6" s="60"/>
      <c r="K6" s="60"/>
      <c r="L6" s="60"/>
    </row>
    <row r="7" spans="1:14" ht="20.100000000000001" customHeight="1" x14ac:dyDescent="0.2">
      <c r="A7" s="60" t="s">
        <v>99</v>
      </c>
      <c r="B7" s="60"/>
      <c r="C7" s="60"/>
      <c r="D7" s="60"/>
      <c r="E7" s="60"/>
      <c r="F7" s="60"/>
      <c r="G7" s="60"/>
      <c r="H7" s="60"/>
      <c r="I7" s="60"/>
      <c r="J7" s="60"/>
      <c r="K7" s="60"/>
      <c r="L7" s="60"/>
      <c r="M7" s="60"/>
    </row>
    <row r="8" spans="1:14" ht="40.5" customHeight="1" x14ac:dyDescent="0.2">
      <c r="C8" s="72" t="s">
        <v>2</v>
      </c>
      <c r="D8" s="15"/>
      <c r="E8" s="72" t="s">
        <v>3</v>
      </c>
      <c r="F8" s="82"/>
      <c r="G8" s="72" t="s">
        <v>79</v>
      </c>
      <c r="H8" s="82"/>
      <c r="I8" s="72" t="s">
        <v>81</v>
      </c>
      <c r="J8" s="82"/>
      <c r="K8" s="72" t="s">
        <v>75</v>
      </c>
      <c r="L8" s="82"/>
      <c r="M8" s="72" t="s">
        <v>76</v>
      </c>
    </row>
    <row r="9" spans="1:14" ht="20.100000000000001" customHeight="1" x14ac:dyDescent="0.2">
      <c r="A9" s="69"/>
      <c r="B9" s="69"/>
      <c r="C9" s="17" t="s">
        <v>4</v>
      </c>
      <c r="E9" s="17" t="s">
        <v>4</v>
      </c>
      <c r="F9" s="12"/>
      <c r="G9" s="17" t="s">
        <v>4</v>
      </c>
      <c r="H9" s="12"/>
      <c r="I9" s="17" t="s">
        <v>4</v>
      </c>
      <c r="J9" s="12"/>
      <c r="K9" s="17" t="s">
        <v>4</v>
      </c>
      <c r="L9" s="12"/>
      <c r="M9" s="17" t="s">
        <v>4</v>
      </c>
    </row>
    <row r="10" spans="1:14" ht="16.5" customHeight="1" x14ac:dyDescent="0.2">
      <c r="A10" s="97" t="s">
        <v>117</v>
      </c>
      <c r="B10" s="18"/>
      <c r="C10" s="107"/>
      <c r="D10" s="108"/>
      <c r="E10" s="107"/>
      <c r="F10" s="108"/>
      <c r="G10" s="107"/>
      <c r="H10" s="111"/>
      <c r="I10" s="107"/>
      <c r="J10" s="111"/>
      <c r="K10" s="107">
        <f>SUM(C10:I10)</f>
        <v>0</v>
      </c>
      <c r="L10" s="108"/>
      <c r="M10" s="107">
        <v>300</v>
      </c>
    </row>
    <row r="11" spans="1:14" ht="16.5" customHeight="1" x14ac:dyDescent="0.2">
      <c r="A11" s="97" t="s">
        <v>114</v>
      </c>
      <c r="B11" s="18"/>
      <c r="C11" s="107">
        <v>183.25</v>
      </c>
      <c r="D11" s="108"/>
      <c r="E11" s="107"/>
      <c r="F11" s="108"/>
      <c r="G11" s="107"/>
      <c r="H11" s="111"/>
      <c r="I11" s="107"/>
      <c r="J11" s="111"/>
      <c r="K11" s="107">
        <f t="shared" ref="K11:K12" si="0">SUM(C11:I11)</f>
        <v>183.25</v>
      </c>
      <c r="L11" s="108"/>
      <c r="M11" s="107"/>
    </row>
    <row r="12" spans="1:14" ht="16.5" customHeight="1" x14ac:dyDescent="0.2">
      <c r="A12" s="97" t="s">
        <v>118</v>
      </c>
      <c r="B12" s="18"/>
      <c r="C12" s="107"/>
      <c r="D12" s="108"/>
      <c r="E12" s="107">
        <v>598</v>
      </c>
      <c r="F12" s="108"/>
      <c r="G12" s="107"/>
      <c r="H12" s="111"/>
      <c r="I12" s="107"/>
      <c r="J12" s="111"/>
      <c r="K12" s="107">
        <f t="shared" si="0"/>
        <v>598</v>
      </c>
      <c r="L12" s="108"/>
      <c r="M12" s="107">
        <v>65</v>
      </c>
    </row>
    <row r="13" spans="1:14" ht="16.5" customHeight="1" x14ac:dyDescent="0.2">
      <c r="A13" s="97" t="s">
        <v>119</v>
      </c>
      <c r="B13" s="18"/>
      <c r="C13" s="107"/>
      <c r="D13" s="108"/>
      <c r="E13" s="107">
        <f>514.15+250.25</f>
        <v>764.4</v>
      </c>
      <c r="F13" s="108"/>
      <c r="G13" s="107"/>
      <c r="H13" s="111"/>
      <c r="I13" s="107"/>
      <c r="J13" s="111"/>
      <c r="K13" s="107">
        <f>SUM(C13:I13)</f>
        <v>764.4</v>
      </c>
      <c r="L13" s="108"/>
      <c r="M13" s="107">
        <v>253</v>
      </c>
    </row>
    <row r="14" spans="1:14" ht="16.5" customHeight="1" x14ac:dyDescent="0.2">
      <c r="A14" s="86" t="s">
        <v>120</v>
      </c>
      <c r="B14" s="93"/>
      <c r="C14" s="109"/>
      <c r="D14" s="108"/>
      <c r="E14" s="107">
        <v>1425</v>
      </c>
      <c r="F14" s="108"/>
      <c r="G14" s="107"/>
      <c r="H14" s="108"/>
      <c r="I14" s="107"/>
      <c r="J14" s="108"/>
      <c r="K14" s="107">
        <f>SUM(C14:I14)</f>
        <v>1425</v>
      </c>
      <c r="L14" s="173"/>
      <c r="M14" s="107">
        <v>1200</v>
      </c>
    </row>
    <row r="15" spans="1:14" ht="20.25" customHeight="1" thickBot="1" x14ac:dyDescent="0.25">
      <c r="A15" s="95" t="s">
        <v>83</v>
      </c>
      <c r="B15" s="95"/>
      <c r="C15" s="110">
        <f>SUM(C10:C14)</f>
        <v>183.25</v>
      </c>
      <c r="D15" s="108"/>
      <c r="E15" s="110">
        <f>SUM(E10:E14)</f>
        <v>2787.4</v>
      </c>
      <c r="F15" s="108"/>
      <c r="G15" s="110">
        <f>SUM(G10:G14)</f>
        <v>0</v>
      </c>
      <c r="H15" s="108"/>
      <c r="I15" s="110">
        <f>SUM(I10:I14)</f>
        <v>0</v>
      </c>
      <c r="J15" s="108"/>
      <c r="K15" s="110">
        <f>SUM(K10:K14)</f>
        <v>2970.65</v>
      </c>
      <c r="L15" s="173"/>
      <c r="M15" s="110">
        <f>SUM(M10:M14)</f>
        <v>1818</v>
      </c>
    </row>
    <row r="16" spans="1:14" ht="13.5" customHeight="1" x14ac:dyDescent="0.2">
      <c r="A16" s="60"/>
      <c r="B16" s="60"/>
      <c r="C16" s="60"/>
      <c r="D16" s="60"/>
      <c r="E16" s="60"/>
      <c r="F16" s="60"/>
      <c r="G16" s="60"/>
      <c r="H16" s="60"/>
      <c r="I16" s="60"/>
      <c r="J16" s="60"/>
      <c r="K16" s="60"/>
      <c r="L16" s="60"/>
    </row>
    <row r="17" spans="1:13" ht="15" customHeight="1" x14ac:dyDescent="0.2">
      <c r="A17" s="60"/>
      <c r="B17" s="60"/>
      <c r="C17" s="174">
        <f>IF('R&amp;P Accounts'!B12-'Additional notes (1)  '!C15=0,0,"reference error")</f>
        <v>0</v>
      </c>
      <c r="D17" s="174"/>
      <c r="E17" s="174">
        <f>IF('R&amp;P Accounts'!D12-'Additional notes (1)  '!E15=0,0,"reference error")</f>
        <v>0</v>
      </c>
      <c r="F17" s="174">
        <f>IF('R&amp;P Accounts'!E12-'Additional notes (1)  '!F15=0,0,"reference error")</f>
        <v>0</v>
      </c>
      <c r="G17" s="174">
        <f>IF('R&amp;P Accounts'!F12-'Additional notes (1)  '!G15=0,0,"reference error")</f>
        <v>0</v>
      </c>
      <c r="H17" s="174">
        <f>IF('R&amp;P Accounts'!G12-'Additional notes (1)  '!H15=0,0,"reference error")</f>
        <v>0</v>
      </c>
      <c r="I17" s="174">
        <f>IF('R&amp;P Accounts'!H12-'Additional notes (1)  '!I15=0,0,"reference error")</f>
        <v>0</v>
      </c>
      <c r="J17" s="174">
        <f>IF('R&amp;P Accounts'!I12-'Additional notes (1)  '!J15=0,0,"reference error")</f>
        <v>0</v>
      </c>
      <c r="K17" s="174">
        <f>IF('R&amp;P Accounts'!J12-'Additional notes (1)  '!K15=0,0,"reference error")</f>
        <v>0</v>
      </c>
      <c r="L17" s="174">
        <f>IF('R&amp;P Accounts'!K12-'Additional notes (1)  '!L15=0,0,"reference error")</f>
        <v>0</v>
      </c>
      <c r="M17" s="174">
        <f>IF('R&amp;P Accounts'!L12-'Additional notes (1)  '!M15=0,0,"reference error")</f>
        <v>0</v>
      </c>
    </row>
    <row r="18" spans="1:13" ht="13.5" customHeight="1" x14ac:dyDescent="0.2">
      <c r="A18" s="60"/>
      <c r="B18" s="60"/>
      <c r="C18" s="60"/>
      <c r="D18" s="60"/>
      <c r="E18" s="60"/>
      <c r="F18" s="60"/>
      <c r="G18" s="60"/>
      <c r="H18" s="60"/>
      <c r="I18" s="60"/>
      <c r="J18" s="60"/>
      <c r="K18" s="60"/>
      <c r="L18" s="60"/>
    </row>
    <row r="19" spans="1:13" ht="20.100000000000001" customHeight="1" x14ac:dyDescent="0.2">
      <c r="A19" s="181" t="s">
        <v>100</v>
      </c>
      <c r="B19" s="181"/>
      <c r="C19" s="181"/>
      <c r="D19" s="181"/>
      <c r="E19" s="181"/>
      <c r="F19" s="181"/>
      <c r="G19" s="181"/>
      <c r="H19" s="181"/>
      <c r="I19" s="181"/>
      <c r="J19" s="181"/>
      <c r="K19" s="181"/>
      <c r="L19" s="181"/>
      <c r="M19" s="181"/>
    </row>
    <row r="20" spans="1:13" ht="20.100000000000001" customHeight="1" x14ac:dyDescent="0.2">
      <c r="C20" s="72" t="s">
        <v>2</v>
      </c>
      <c r="D20" s="15"/>
      <c r="E20" s="72" t="s">
        <v>3</v>
      </c>
      <c r="F20" s="82"/>
      <c r="G20" s="72"/>
      <c r="H20" s="82"/>
      <c r="I20" s="72"/>
      <c r="J20" s="82"/>
      <c r="K20" s="72" t="s">
        <v>75</v>
      </c>
      <c r="L20" s="82"/>
      <c r="M20" s="72" t="s">
        <v>76</v>
      </c>
    </row>
    <row r="21" spans="1:13" ht="20.100000000000001" customHeight="1" x14ac:dyDescent="0.2">
      <c r="A21" s="69"/>
      <c r="B21" s="69"/>
      <c r="C21" s="17" t="s">
        <v>4</v>
      </c>
      <c r="E21" s="17" t="s">
        <v>4</v>
      </c>
      <c r="F21" s="12"/>
      <c r="G21" s="17"/>
      <c r="H21" s="12"/>
      <c r="I21" s="17"/>
      <c r="J21" s="12"/>
      <c r="K21" s="17" t="s">
        <v>4</v>
      </c>
      <c r="L21" s="12"/>
      <c r="M21" s="17" t="s">
        <v>4</v>
      </c>
    </row>
    <row r="22" spans="1:13" ht="20.100000000000001" customHeight="1" x14ac:dyDescent="0.25">
      <c r="A22" s="97" t="s">
        <v>139</v>
      </c>
      <c r="B22" s="18"/>
      <c r="C22" s="107"/>
      <c r="D22" s="108"/>
      <c r="E22" s="107">
        <v>358.06</v>
      </c>
      <c r="F22" s="108"/>
      <c r="G22" s="108"/>
      <c r="H22" s="111"/>
      <c r="I22" s="108"/>
      <c r="J22" s="111"/>
      <c r="K22" s="107">
        <f>SUM(C22:I22)</f>
        <v>358.06</v>
      </c>
      <c r="L22" s="108"/>
      <c r="M22" s="112">
        <v>110</v>
      </c>
    </row>
    <row r="23" spans="1:13" ht="20.100000000000001" customHeight="1" x14ac:dyDescent="0.25">
      <c r="A23" s="97" t="s">
        <v>140</v>
      </c>
      <c r="B23" s="18"/>
      <c r="C23" s="107"/>
      <c r="D23" s="108"/>
      <c r="E23" s="107"/>
      <c r="F23" s="108"/>
      <c r="G23" s="108"/>
      <c r="H23" s="111"/>
      <c r="I23" s="108"/>
      <c r="J23" s="111"/>
      <c r="K23" s="107">
        <f>SUM(C23:I23)</f>
        <v>0</v>
      </c>
      <c r="L23" s="108"/>
      <c r="M23" s="112">
        <v>942</v>
      </c>
    </row>
    <row r="24" spans="1:13" ht="20.100000000000001" customHeight="1" x14ac:dyDescent="0.25">
      <c r="A24" s="97" t="s">
        <v>141</v>
      </c>
      <c r="B24" s="18"/>
      <c r="C24" s="107"/>
      <c r="D24" s="108"/>
      <c r="E24" s="107">
        <f>718.42+237.41</f>
        <v>955.82999999999993</v>
      </c>
      <c r="F24" s="108"/>
      <c r="G24" s="108"/>
      <c r="H24" s="111"/>
      <c r="I24" s="108"/>
      <c r="J24" s="111"/>
      <c r="K24" s="107">
        <f>SUM(C24:I24)</f>
        <v>955.82999999999993</v>
      </c>
      <c r="L24" s="108"/>
      <c r="M24" s="112">
        <v>1023</v>
      </c>
    </row>
    <row r="25" spans="1:13" ht="20.100000000000001" customHeight="1" x14ac:dyDescent="0.25">
      <c r="A25" s="97" t="s">
        <v>142</v>
      </c>
      <c r="B25" s="18"/>
      <c r="C25" s="109"/>
      <c r="D25" s="108"/>
      <c r="E25" s="107">
        <f>764+216</f>
        <v>980</v>
      </c>
      <c r="F25" s="108"/>
      <c r="G25" s="108"/>
      <c r="H25" s="111"/>
      <c r="I25" s="108"/>
      <c r="J25" s="111"/>
      <c r="K25" s="107">
        <f>SUM(C25:I25)</f>
        <v>980</v>
      </c>
      <c r="L25" s="108"/>
      <c r="M25" s="112"/>
    </row>
    <row r="26" spans="1:13" ht="20.100000000000001" customHeight="1" x14ac:dyDescent="0.25">
      <c r="A26" s="86" t="s">
        <v>143</v>
      </c>
      <c r="B26" s="93"/>
      <c r="C26" s="109"/>
      <c r="D26" s="108"/>
      <c r="E26" s="107">
        <v>600</v>
      </c>
      <c r="F26" s="108"/>
      <c r="G26" s="108"/>
      <c r="H26" s="108"/>
      <c r="I26" s="108"/>
      <c r="J26" s="108"/>
      <c r="K26" s="107">
        <f>SUM(C26:I26)</f>
        <v>600</v>
      </c>
      <c r="L26" s="289"/>
      <c r="M26" s="112"/>
    </row>
    <row r="27" spans="1:13" ht="20.100000000000001" customHeight="1" thickBot="1" x14ac:dyDescent="0.25">
      <c r="A27" s="95" t="s">
        <v>83</v>
      </c>
      <c r="B27" s="95"/>
      <c r="C27" s="110">
        <f>SUM(C22:C26)</f>
        <v>0</v>
      </c>
      <c r="D27" s="108"/>
      <c r="E27" s="110">
        <f>SUM(E22:E26)</f>
        <v>2893.89</v>
      </c>
      <c r="F27" s="108"/>
      <c r="G27" s="175"/>
      <c r="H27" s="175"/>
      <c r="I27" s="175"/>
      <c r="J27" s="108"/>
      <c r="K27" s="110">
        <f>SUM(K22:K26)</f>
        <v>2893.89</v>
      </c>
      <c r="L27" s="289"/>
      <c r="M27" s="110">
        <f>SUM(M22:M26)</f>
        <v>2075</v>
      </c>
    </row>
    <row r="28" spans="1:13" ht="12" customHeight="1" x14ac:dyDescent="0.2">
      <c r="A28" s="60"/>
      <c r="B28" s="60"/>
      <c r="C28" s="60"/>
      <c r="D28" s="60"/>
      <c r="E28" s="60"/>
      <c r="F28" s="60"/>
      <c r="G28" s="60"/>
      <c r="H28" s="60"/>
      <c r="I28" s="60"/>
      <c r="J28" s="60"/>
      <c r="K28" s="60"/>
      <c r="L28" s="60"/>
    </row>
    <row r="29" spans="1:13" ht="13.5" customHeight="1" x14ac:dyDescent="0.2">
      <c r="A29" s="60"/>
      <c r="B29" s="60"/>
      <c r="C29" s="174">
        <f>IF('R&amp;P Accounts'!B14-'Additional notes (1)  '!C27=0,0,"reference error")</f>
        <v>0</v>
      </c>
      <c r="D29" s="174"/>
      <c r="E29" s="174">
        <f>IF('R&amp;P Accounts'!D14-'Additional notes (1)  '!E27=0,0,"reference error")</f>
        <v>0</v>
      </c>
      <c r="F29" s="174">
        <f>IF('R&amp;P Accounts'!E14-'Additional notes (1)  '!F27=0,0,"reference error")</f>
        <v>0</v>
      </c>
      <c r="G29" s="174"/>
      <c r="H29" s="174"/>
      <c r="I29" s="174"/>
      <c r="J29" s="174">
        <f>IF('R&amp;P Accounts'!I14-'Additional notes (1)  '!J27=0,0,"reference error")</f>
        <v>0</v>
      </c>
      <c r="K29" s="174">
        <f>IF('R&amp;P Accounts'!J14-'Additional notes (1)  '!K27=0,0,"reference error")</f>
        <v>0</v>
      </c>
      <c r="L29" s="174">
        <f>IF('R&amp;P Accounts'!K14-'Additional notes (1)  '!L27=0,0,"reference error")</f>
        <v>0</v>
      </c>
      <c r="M29" s="174">
        <f>IF('R&amp;P Accounts'!L14-'Additional notes (1)  '!M27=0,0,"reference error")</f>
        <v>0</v>
      </c>
    </row>
    <row r="30" spans="1:13" ht="11.25" customHeight="1" x14ac:dyDescent="0.2">
      <c r="A30" s="60"/>
      <c r="B30" s="60"/>
      <c r="C30" s="60"/>
      <c r="D30" s="60"/>
      <c r="E30" s="60"/>
      <c r="F30" s="60"/>
      <c r="G30" s="60"/>
      <c r="H30" s="60"/>
      <c r="I30" s="60"/>
      <c r="J30" s="60"/>
      <c r="K30" s="60"/>
      <c r="L30" s="60"/>
    </row>
    <row r="31" spans="1:13" ht="20.100000000000001" customHeight="1" x14ac:dyDescent="0.2">
      <c r="A31" s="181" t="s">
        <v>98</v>
      </c>
      <c r="B31" s="181"/>
      <c r="C31" s="181"/>
      <c r="D31" s="181"/>
      <c r="E31" s="181"/>
      <c r="F31" s="181"/>
      <c r="G31" s="181"/>
      <c r="H31" s="181"/>
      <c r="I31" s="181"/>
      <c r="J31" s="181"/>
      <c r="K31" s="181"/>
      <c r="L31" s="181"/>
    </row>
    <row r="32" spans="1:13" ht="40.5" customHeight="1" x14ac:dyDescent="0.2">
      <c r="C32" s="72" t="s">
        <v>2</v>
      </c>
      <c r="D32" s="15"/>
      <c r="E32" s="72" t="s">
        <v>3</v>
      </c>
      <c r="F32" s="82"/>
      <c r="G32" s="72" t="s">
        <v>79</v>
      </c>
      <c r="H32" s="82"/>
      <c r="I32" s="72" t="s">
        <v>81</v>
      </c>
      <c r="J32" s="82"/>
      <c r="K32" s="72" t="s">
        <v>75</v>
      </c>
      <c r="L32" s="82"/>
      <c r="M32" s="72" t="s">
        <v>76</v>
      </c>
    </row>
    <row r="33" spans="1:19" ht="20.100000000000001" customHeight="1" x14ac:dyDescent="0.2">
      <c r="A33" s="69"/>
      <c r="B33" s="69"/>
      <c r="C33" s="17" t="s">
        <v>4</v>
      </c>
      <c r="E33" s="17" t="s">
        <v>4</v>
      </c>
      <c r="F33" s="12"/>
      <c r="G33" s="17" t="s">
        <v>4</v>
      </c>
      <c r="H33" s="12"/>
      <c r="I33" s="17" t="s">
        <v>4</v>
      </c>
      <c r="J33" s="12"/>
      <c r="K33" s="17" t="s">
        <v>4</v>
      </c>
      <c r="L33" s="12"/>
      <c r="M33" s="17" t="s">
        <v>4</v>
      </c>
      <c r="S33" s="54"/>
    </row>
    <row r="34" spans="1:19" ht="16.5" customHeight="1" x14ac:dyDescent="0.25">
      <c r="A34" s="97" t="s">
        <v>121</v>
      </c>
      <c r="B34" s="18"/>
      <c r="C34" s="107"/>
      <c r="D34" s="108"/>
      <c r="E34" s="107">
        <v>1306.49</v>
      </c>
      <c r="F34" s="108"/>
      <c r="G34" s="107"/>
      <c r="H34" s="111"/>
      <c r="I34" s="107"/>
      <c r="J34" s="111"/>
      <c r="K34" s="107">
        <f>SUM(C34:I34)</f>
        <v>1306.49</v>
      </c>
      <c r="L34" s="108"/>
      <c r="M34" s="112">
        <v>1597</v>
      </c>
      <c r="S34" s="54"/>
    </row>
    <row r="35" spans="1:19" ht="16.5" customHeight="1" x14ac:dyDescent="0.25">
      <c r="A35" s="97" t="s">
        <v>122</v>
      </c>
      <c r="B35" s="18"/>
      <c r="C35" s="107">
        <v>14138.83</v>
      </c>
      <c r="D35" s="108"/>
      <c r="E35" s="107">
        <v>4352.1499999999996</v>
      </c>
      <c r="F35" s="108"/>
      <c r="G35" s="107"/>
      <c r="H35" s="111"/>
      <c r="I35" s="107"/>
      <c r="J35" s="111"/>
      <c r="K35" s="107">
        <f t="shared" ref="K35:K41" si="1">SUM(C35:I35)</f>
        <v>18490.98</v>
      </c>
      <c r="L35" s="108"/>
      <c r="M35" s="112">
        <v>14567</v>
      </c>
    </row>
    <row r="36" spans="1:19" ht="16.5" customHeight="1" x14ac:dyDescent="0.25">
      <c r="A36" s="97" t="s">
        <v>123</v>
      </c>
      <c r="B36" s="18"/>
      <c r="C36" s="107"/>
      <c r="D36" s="108"/>
      <c r="E36" s="107">
        <v>4970.1000000000004</v>
      </c>
      <c r="F36" s="108"/>
      <c r="G36" s="107"/>
      <c r="H36" s="111"/>
      <c r="I36" s="107"/>
      <c r="J36" s="111"/>
      <c r="K36" s="107">
        <f t="shared" si="1"/>
        <v>4970.1000000000004</v>
      </c>
      <c r="L36" s="108"/>
      <c r="M36" s="112">
        <v>4449</v>
      </c>
    </row>
    <row r="37" spans="1:19" ht="16.5" customHeight="1" x14ac:dyDescent="0.25">
      <c r="A37" s="97" t="s">
        <v>124</v>
      </c>
      <c r="B37" s="18"/>
      <c r="C37" s="107">
        <f>417.05+16.5</f>
        <v>433.55</v>
      </c>
      <c r="D37" s="108"/>
      <c r="E37" s="107"/>
      <c r="F37" s="108"/>
      <c r="G37" s="107"/>
      <c r="H37" s="111"/>
      <c r="I37" s="107"/>
      <c r="J37" s="111"/>
      <c r="K37" s="107">
        <f t="shared" si="1"/>
        <v>433.55</v>
      </c>
      <c r="L37" s="108"/>
      <c r="M37" s="112">
        <v>512</v>
      </c>
    </row>
    <row r="38" spans="1:19" ht="16.5" customHeight="1" x14ac:dyDescent="0.25">
      <c r="A38" s="97" t="s">
        <v>125</v>
      </c>
      <c r="B38" s="18"/>
      <c r="C38" s="113"/>
      <c r="D38" s="111"/>
      <c r="E38" s="113">
        <v>1788.79</v>
      </c>
      <c r="F38" s="111"/>
      <c r="G38" s="113"/>
      <c r="H38" s="111"/>
      <c r="I38" s="113"/>
      <c r="J38" s="111"/>
      <c r="K38" s="107">
        <f t="shared" si="1"/>
        <v>1788.79</v>
      </c>
      <c r="L38" s="111"/>
      <c r="M38" s="112">
        <v>793</v>
      </c>
    </row>
    <row r="39" spans="1:19" ht="16.5" customHeight="1" x14ac:dyDescent="0.25">
      <c r="A39" s="97" t="s">
        <v>126</v>
      </c>
      <c r="B39" s="18"/>
      <c r="C39" s="113"/>
      <c r="D39" s="111"/>
      <c r="E39" s="113"/>
      <c r="F39" s="111"/>
      <c r="G39" s="113"/>
      <c r="H39" s="111"/>
      <c r="I39" s="113"/>
      <c r="J39" s="111"/>
      <c r="K39" s="107">
        <f t="shared" si="1"/>
        <v>0</v>
      </c>
      <c r="L39" s="111"/>
      <c r="M39" s="112">
        <v>462</v>
      </c>
    </row>
    <row r="40" spans="1:19" ht="16.5" customHeight="1" x14ac:dyDescent="0.25">
      <c r="A40" s="97" t="s">
        <v>127</v>
      </c>
      <c r="B40" s="18"/>
      <c r="C40" s="113">
        <v>946.9</v>
      </c>
      <c r="D40" s="111"/>
      <c r="E40" s="113">
        <f>2488.51-281.2+192.4-1788.79</f>
        <v>610.92000000000053</v>
      </c>
      <c r="F40" s="111"/>
      <c r="G40" s="113"/>
      <c r="H40" s="111"/>
      <c r="I40" s="113"/>
      <c r="J40" s="111"/>
      <c r="K40" s="107">
        <f t="shared" si="1"/>
        <v>1557.8200000000006</v>
      </c>
      <c r="L40" s="111"/>
      <c r="M40" s="112">
        <v>4925</v>
      </c>
    </row>
    <row r="41" spans="1:19" ht="16.5" customHeight="1" x14ac:dyDescent="0.25">
      <c r="A41" s="98" t="s">
        <v>110</v>
      </c>
      <c r="B41" s="93"/>
      <c r="C41" s="109">
        <v>1720.43</v>
      </c>
      <c r="D41" s="108"/>
      <c r="E41" s="107"/>
      <c r="F41" s="108"/>
      <c r="G41" s="107"/>
      <c r="H41" s="108"/>
      <c r="I41" s="107"/>
      <c r="J41" s="108"/>
      <c r="K41" s="107">
        <f t="shared" si="1"/>
        <v>1720.43</v>
      </c>
      <c r="L41" s="289"/>
      <c r="M41" s="112"/>
    </row>
    <row r="42" spans="1:19" ht="20.25" customHeight="1" thickBot="1" x14ac:dyDescent="0.25">
      <c r="A42" s="95" t="s">
        <v>83</v>
      </c>
      <c r="B42" s="95"/>
      <c r="C42" s="110">
        <f>SUM(C34:C41)</f>
        <v>17239.71</v>
      </c>
      <c r="D42" s="108"/>
      <c r="E42" s="110">
        <f>SUM(E34:E41)</f>
        <v>13028.449999999999</v>
      </c>
      <c r="F42" s="108"/>
      <c r="G42" s="110">
        <f>SUM(G34:G41)</f>
        <v>0</v>
      </c>
      <c r="H42" s="108"/>
      <c r="I42" s="110">
        <f>SUM(I34:I41)</f>
        <v>0</v>
      </c>
      <c r="J42" s="108"/>
      <c r="K42" s="110">
        <f>SUM(K34:K41)</f>
        <v>30268.16</v>
      </c>
      <c r="L42" s="289"/>
      <c r="M42" s="110">
        <f>SUM(M34:M41)</f>
        <v>27305</v>
      </c>
      <c r="Q42" s="54"/>
    </row>
    <row r="43" spans="1:19" ht="10.5" customHeight="1" x14ac:dyDescent="0.2">
      <c r="A43" s="95"/>
      <c r="B43" s="95"/>
      <c r="C43" s="105"/>
      <c r="D43" s="92"/>
      <c r="E43" s="105"/>
      <c r="F43" s="92"/>
      <c r="G43" s="105"/>
      <c r="H43" s="92"/>
      <c r="I43" s="105"/>
      <c r="J43" s="92"/>
      <c r="K43" s="105"/>
      <c r="L43" s="94"/>
      <c r="M43" s="105"/>
    </row>
    <row r="44" spans="1:19" ht="12.75" customHeight="1" x14ac:dyDescent="0.2">
      <c r="A44" s="12"/>
      <c r="B44" s="12"/>
      <c r="C44" s="58"/>
      <c r="D44" s="12"/>
      <c r="E44" s="58"/>
      <c r="F44" s="58"/>
      <c r="G44" s="58">
        <f>IF(G42-'R&amp;P Accounts'!F19=0,0,"reference error")</f>
        <v>0</v>
      </c>
      <c r="H44" s="58"/>
      <c r="I44" s="58">
        <f>IF(I42-'R&amp;P Accounts'!H19=0,0,"reference error")</f>
        <v>0</v>
      </c>
      <c r="J44" s="58"/>
      <c r="K44" s="58"/>
      <c r="L44" s="58"/>
      <c r="M44" s="58">
        <f>IF(M42-'R&amp;P Accounts'!L19=0,0,"reference error")</f>
        <v>0</v>
      </c>
    </row>
    <row r="45" spans="1:19" ht="12.75" customHeight="1" x14ac:dyDescent="0.2">
      <c r="A45" s="12"/>
      <c r="B45" s="12"/>
      <c r="C45" s="58"/>
      <c r="D45" s="12"/>
      <c r="E45" s="58"/>
      <c r="F45" s="58"/>
      <c r="G45" s="58"/>
      <c r="H45" s="58"/>
      <c r="I45" s="58"/>
      <c r="J45" s="58"/>
      <c r="K45" s="58"/>
      <c r="L45" s="58"/>
      <c r="M45" s="58"/>
      <c r="Q45" s="54"/>
    </row>
    <row r="46" spans="1:19" ht="19.5" customHeight="1" x14ac:dyDescent="0.25">
      <c r="A46" s="287" t="s">
        <v>97</v>
      </c>
      <c r="B46" s="287"/>
      <c r="C46" s="287"/>
      <c r="D46" s="287"/>
      <c r="E46" s="287"/>
      <c r="F46" s="287"/>
      <c r="G46" s="287"/>
      <c r="H46" s="287"/>
      <c r="I46" s="287"/>
      <c r="J46" s="287"/>
      <c r="K46" s="287"/>
      <c r="L46" s="287"/>
      <c r="M46" s="287"/>
    </row>
    <row r="47" spans="1:19" ht="40.5" customHeight="1" x14ac:dyDescent="0.2">
      <c r="C47" s="72" t="s">
        <v>2</v>
      </c>
      <c r="D47" s="15"/>
      <c r="E47" s="72" t="s">
        <v>3</v>
      </c>
      <c r="F47" s="82"/>
      <c r="G47" s="72" t="s">
        <v>79</v>
      </c>
      <c r="H47" s="82"/>
      <c r="I47" s="72" t="s">
        <v>81</v>
      </c>
      <c r="J47" s="82"/>
      <c r="K47" s="72" t="s">
        <v>75</v>
      </c>
      <c r="L47" s="82"/>
      <c r="M47" s="72" t="s">
        <v>76</v>
      </c>
    </row>
    <row r="48" spans="1:19" ht="20.100000000000001" customHeight="1" x14ac:dyDescent="0.2">
      <c r="A48" s="69"/>
      <c r="B48" s="69"/>
      <c r="C48" s="17" t="s">
        <v>4</v>
      </c>
      <c r="E48" s="17" t="s">
        <v>4</v>
      </c>
      <c r="F48" s="12"/>
      <c r="G48" s="17" t="s">
        <v>4</v>
      </c>
      <c r="H48" s="12"/>
      <c r="I48" s="17" t="s">
        <v>4</v>
      </c>
      <c r="J48" s="12"/>
      <c r="K48" s="17" t="s">
        <v>4</v>
      </c>
      <c r="L48" s="12"/>
      <c r="M48" s="17" t="s">
        <v>4</v>
      </c>
    </row>
    <row r="49" spans="1:18" ht="16.5" customHeight="1" x14ac:dyDescent="0.25">
      <c r="A49" s="97" t="s">
        <v>128</v>
      </c>
      <c r="B49" s="18"/>
      <c r="C49" s="114">
        <v>6146</v>
      </c>
      <c r="D49" s="115"/>
      <c r="E49" s="114"/>
      <c r="F49" s="115"/>
      <c r="G49" s="114"/>
      <c r="H49" s="118"/>
      <c r="I49" s="114"/>
      <c r="J49" s="118"/>
      <c r="K49" s="114">
        <f>SUM(C49:I49)</f>
        <v>6146</v>
      </c>
      <c r="L49" s="115"/>
      <c r="M49" s="119">
        <v>8738</v>
      </c>
    </row>
    <row r="50" spans="1:18" ht="16.5" customHeight="1" x14ac:dyDescent="0.25">
      <c r="A50" s="97" t="s">
        <v>129</v>
      </c>
      <c r="B50" s="18"/>
      <c r="C50" s="114"/>
      <c r="D50" s="115"/>
      <c r="E50" s="114">
        <v>4357.38</v>
      </c>
      <c r="F50" s="115"/>
      <c r="G50" s="114"/>
      <c r="H50" s="118"/>
      <c r="I50" s="114"/>
      <c r="J50" s="118"/>
      <c r="K50" s="114">
        <f t="shared" ref="K50:K59" si="2">SUM(C50:I50)</f>
        <v>4357.38</v>
      </c>
      <c r="L50" s="115"/>
      <c r="M50" s="119">
        <v>3210</v>
      </c>
    </row>
    <row r="51" spans="1:18" ht="16.5" customHeight="1" x14ac:dyDescent="0.25">
      <c r="A51" s="97" t="s">
        <v>130</v>
      </c>
      <c r="B51" s="18"/>
      <c r="C51" s="114">
        <v>100</v>
      </c>
      <c r="D51" s="115"/>
      <c r="E51" s="114">
        <v>1060.5</v>
      </c>
      <c r="F51" s="115"/>
      <c r="G51" s="114"/>
      <c r="H51" s="118"/>
      <c r="I51" s="114"/>
      <c r="J51" s="118"/>
      <c r="K51" s="114">
        <f t="shared" si="2"/>
        <v>1160.5</v>
      </c>
      <c r="L51" s="115"/>
      <c r="M51" s="119">
        <v>1091</v>
      </c>
    </row>
    <row r="52" spans="1:18" ht="16.5" customHeight="1" x14ac:dyDescent="0.25">
      <c r="A52" s="97" t="s">
        <v>131</v>
      </c>
      <c r="B52" s="18"/>
      <c r="C52" s="114">
        <v>857.9</v>
      </c>
      <c r="D52" s="115"/>
      <c r="E52" s="114">
        <v>933.48</v>
      </c>
      <c r="F52" s="115"/>
      <c r="G52" s="114"/>
      <c r="H52" s="118"/>
      <c r="I52" s="114"/>
      <c r="J52" s="118"/>
      <c r="K52" s="114">
        <f t="shared" si="2"/>
        <v>1791.38</v>
      </c>
      <c r="L52" s="115"/>
      <c r="M52" s="119">
        <v>1571</v>
      </c>
    </row>
    <row r="53" spans="1:18" ht="16.5" customHeight="1" x14ac:dyDescent="0.25">
      <c r="A53" s="97" t="s">
        <v>132</v>
      </c>
      <c r="B53" s="18"/>
      <c r="C53" s="120">
        <v>103.2</v>
      </c>
      <c r="D53" s="118"/>
      <c r="E53" s="120">
        <v>300</v>
      </c>
      <c r="F53" s="118"/>
      <c r="G53" s="120"/>
      <c r="H53" s="118"/>
      <c r="I53" s="120"/>
      <c r="J53" s="118"/>
      <c r="K53" s="114">
        <f t="shared" si="2"/>
        <v>403.2</v>
      </c>
      <c r="L53" s="118"/>
      <c r="M53" s="119">
        <v>241</v>
      </c>
    </row>
    <row r="54" spans="1:18" ht="16.5" customHeight="1" x14ac:dyDescent="0.25">
      <c r="A54" s="97" t="s">
        <v>133</v>
      </c>
      <c r="B54" s="18"/>
      <c r="C54" s="120">
        <f>147.86+603.2+470.47+13.69+219.5</f>
        <v>1454.7200000000003</v>
      </c>
      <c r="D54" s="118"/>
      <c r="E54" s="120">
        <f>2.38+299+246</f>
        <v>547.38</v>
      </c>
      <c r="F54" s="118"/>
      <c r="G54" s="120"/>
      <c r="H54" s="118"/>
      <c r="I54" s="120"/>
      <c r="J54" s="118"/>
      <c r="K54" s="114">
        <f t="shared" si="2"/>
        <v>2002.1000000000004</v>
      </c>
      <c r="L54" s="118"/>
      <c r="M54" s="119">
        <v>568</v>
      </c>
    </row>
    <row r="55" spans="1:18" ht="16.5" customHeight="1" x14ac:dyDescent="0.25">
      <c r="A55" s="97" t="s">
        <v>134</v>
      </c>
      <c r="B55" s="18"/>
      <c r="C55" s="120">
        <v>1203</v>
      </c>
      <c r="D55" s="118"/>
      <c r="E55" s="120"/>
      <c r="F55" s="118"/>
      <c r="G55" s="120"/>
      <c r="H55" s="118"/>
      <c r="I55" s="120"/>
      <c r="J55" s="118"/>
      <c r="K55" s="114">
        <f t="shared" si="2"/>
        <v>1203</v>
      </c>
      <c r="L55" s="118"/>
      <c r="M55" s="119">
        <v>1740</v>
      </c>
    </row>
    <row r="56" spans="1:18" ht="16.5" customHeight="1" x14ac:dyDescent="0.25">
      <c r="A56" s="97" t="s">
        <v>135</v>
      </c>
      <c r="B56" s="18"/>
      <c r="C56" s="120">
        <f>25.96+150+1600.26-328.1+76.07+1</f>
        <v>1525.1899999999998</v>
      </c>
      <c r="D56" s="118"/>
      <c r="E56" s="120">
        <f>3692.18+75.16-73.45+40</f>
        <v>3733.89</v>
      </c>
      <c r="F56" s="118"/>
      <c r="G56" s="120"/>
      <c r="H56" s="118"/>
      <c r="I56" s="120"/>
      <c r="J56" s="118"/>
      <c r="K56" s="114">
        <f t="shared" si="2"/>
        <v>5259.08</v>
      </c>
      <c r="L56" s="118"/>
      <c r="M56" s="119">
        <v>5227</v>
      </c>
    </row>
    <row r="57" spans="1:18" ht="16.5" customHeight="1" x14ac:dyDescent="0.25">
      <c r="A57" s="97" t="s">
        <v>136</v>
      </c>
      <c r="B57" s="18"/>
      <c r="C57" s="120">
        <v>618.32000000000005</v>
      </c>
      <c r="D57" s="118"/>
      <c r="E57" s="120">
        <f>634.46+481.5+335.35</f>
        <v>1451.31</v>
      </c>
      <c r="F57" s="118"/>
      <c r="G57" s="120"/>
      <c r="H57" s="118"/>
      <c r="I57" s="120"/>
      <c r="J57" s="118"/>
      <c r="K57" s="114">
        <f t="shared" si="2"/>
        <v>2069.63</v>
      </c>
      <c r="L57" s="118"/>
      <c r="M57" s="119">
        <v>1600</v>
      </c>
    </row>
    <row r="58" spans="1:18" ht="16.5" customHeight="1" x14ac:dyDescent="0.25">
      <c r="A58" s="97" t="s">
        <v>137</v>
      </c>
      <c r="B58" s="18"/>
      <c r="C58" s="120"/>
      <c r="D58" s="118"/>
      <c r="E58" s="120">
        <v>182.1</v>
      </c>
      <c r="F58" s="118"/>
      <c r="G58" s="120"/>
      <c r="H58" s="118"/>
      <c r="I58" s="120"/>
      <c r="J58" s="118"/>
      <c r="K58" s="114">
        <f t="shared" si="2"/>
        <v>182.1</v>
      </c>
      <c r="L58" s="118"/>
      <c r="M58" s="119">
        <v>2062</v>
      </c>
    </row>
    <row r="59" spans="1:18" ht="16.5" customHeight="1" x14ac:dyDescent="0.25">
      <c r="A59" s="98" t="s">
        <v>138</v>
      </c>
      <c r="B59" s="93"/>
      <c r="C59" s="116"/>
      <c r="D59" s="115"/>
      <c r="E59" s="114">
        <f>938.65+1688.17</f>
        <v>2626.82</v>
      </c>
      <c r="F59" s="115"/>
      <c r="G59" s="114"/>
      <c r="H59" s="115"/>
      <c r="I59" s="114"/>
      <c r="J59" s="115"/>
      <c r="K59" s="114">
        <f t="shared" si="2"/>
        <v>2626.82</v>
      </c>
      <c r="L59" s="288"/>
      <c r="M59" s="119">
        <v>5816</v>
      </c>
    </row>
    <row r="60" spans="1:18" ht="20.100000000000001" customHeight="1" thickBot="1" x14ac:dyDescent="0.25">
      <c r="A60" s="95" t="s">
        <v>83</v>
      </c>
      <c r="B60" s="95"/>
      <c r="C60" s="117">
        <f>SUM(C49:C59)</f>
        <v>12008.33</v>
      </c>
      <c r="D60" s="115"/>
      <c r="E60" s="117">
        <f>SUM(E49:E59)</f>
        <v>15192.86</v>
      </c>
      <c r="F60" s="115"/>
      <c r="G60" s="117">
        <f>SUM(G49:G59)</f>
        <v>0</v>
      </c>
      <c r="H60" s="115"/>
      <c r="I60" s="117">
        <f>SUM(I49:I59)</f>
        <v>0</v>
      </c>
      <c r="J60" s="115"/>
      <c r="K60" s="117">
        <f>SUM(K49:K59)</f>
        <v>27201.190000000006</v>
      </c>
      <c r="L60" s="288"/>
      <c r="M60" s="117">
        <f>SUM(M49:M59)</f>
        <v>31864</v>
      </c>
      <c r="P60" s="54"/>
      <c r="R60" s="54"/>
    </row>
    <row r="61" spans="1:18" ht="9" customHeight="1" x14ac:dyDescent="0.2">
      <c r="A61" s="95"/>
      <c r="B61" s="95"/>
      <c r="C61" s="106"/>
      <c r="D61" s="99"/>
      <c r="E61" s="106"/>
      <c r="F61" s="99"/>
      <c r="G61" s="106"/>
      <c r="H61" s="99"/>
      <c r="I61" s="106"/>
      <c r="J61" s="99"/>
      <c r="K61" s="106"/>
      <c r="L61" s="102"/>
      <c r="M61" s="106"/>
    </row>
    <row r="62" spans="1:18" ht="11.25" customHeight="1" x14ac:dyDescent="0.2">
      <c r="A62" s="70"/>
      <c r="B62" s="70"/>
      <c r="C62" s="58"/>
      <c r="D62" s="38"/>
      <c r="E62" s="58"/>
      <c r="F62" s="58"/>
      <c r="G62" s="58">
        <f>IF(G60-'R&amp;P Accounts'!F34=0,0,"reference error")</f>
        <v>0</v>
      </c>
      <c r="H62" s="58"/>
      <c r="I62" s="58">
        <f>IF(I60-'R&amp;P Accounts'!H34=0,0,"reference error")</f>
        <v>0</v>
      </c>
      <c r="J62" s="58"/>
      <c r="K62" s="58"/>
      <c r="L62" s="58"/>
      <c r="M62" s="58">
        <f>IF(M60-'R&amp;P Accounts'!L34=0,0,"reference error")</f>
        <v>0</v>
      </c>
    </row>
    <row r="63" spans="1:18" ht="11.25" customHeight="1" x14ac:dyDescent="0.2">
      <c r="A63" s="70"/>
      <c r="B63" s="70"/>
      <c r="C63" s="58"/>
      <c r="D63" s="38"/>
      <c r="E63" s="58"/>
      <c r="F63" s="58"/>
      <c r="G63" s="58"/>
      <c r="H63" s="58"/>
      <c r="I63" s="58"/>
      <c r="J63" s="58"/>
      <c r="K63" s="58"/>
      <c r="L63" s="58"/>
      <c r="M63" s="58"/>
    </row>
    <row r="64" spans="1:18" ht="20.100000000000001" customHeight="1" x14ac:dyDescent="0.2">
      <c r="A64" s="70"/>
      <c r="B64" s="70"/>
      <c r="C64" s="38"/>
      <c r="D64" s="38"/>
      <c r="E64" s="38"/>
      <c r="F64" s="38"/>
      <c r="G64" s="38"/>
      <c r="H64" s="38"/>
      <c r="I64" s="38"/>
      <c r="J64" s="12"/>
      <c r="K64" s="84"/>
      <c r="L64" s="84"/>
    </row>
    <row r="65" spans="5:5" ht="20.100000000000001" customHeight="1" x14ac:dyDescent="0.2">
      <c r="E65" s="54"/>
    </row>
    <row r="66" spans="5:5" ht="54" customHeight="1" x14ac:dyDescent="0.2"/>
    <row r="67" spans="5:5" ht="54" customHeight="1" x14ac:dyDescent="0.2"/>
    <row r="68" spans="5:5" ht="19.5" customHeight="1" x14ac:dyDescent="0.2"/>
    <row r="69" spans="5:5" ht="17.25" customHeight="1" x14ac:dyDescent="0.2"/>
    <row r="70" spans="5:5" ht="17.25" customHeight="1" x14ac:dyDescent="0.2"/>
    <row r="71" spans="5:5" ht="18" customHeight="1" x14ac:dyDescent="0.2"/>
    <row r="72" spans="5:5" ht="17.25" customHeight="1" x14ac:dyDescent="0.2"/>
    <row r="73" spans="5:5" ht="16.5" customHeight="1" x14ac:dyDescent="0.2"/>
    <row r="74" spans="5:5" ht="29.25" customHeight="1" x14ac:dyDescent="0.2"/>
    <row r="75" spans="5:5" ht="18" customHeight="1" x14ac:dyDescent="0.2"/>
    <row r="76" spans="5:5" ht="17.25" customHeight="1" x14ac:dyDescent="0.2"/>
    <row r="77" spans="5:5" ht="19.5" customHeight="1" x14ac:dyDescent="0.2"/>
    <row r="78" spans="5:5" ht="16.5" customHeight="1" x14ac:dyDescent="0.2"/>
    <row r="79" spans="5:5" ht="29.25" customHeight="1" x14ac:dyDescent="0.2"/>
    <row r="80" spans="5:5" ht="16.5" customHeight="1" x14ac:dyDescent="0.2"/>
    <row r="81" ht="17.25" customHeight="1" x14ac:dyDescent="0.2"/>
    <row r="82" ht="19.5" customHeight="1" x14ac:dyDescent="0.2"/>
    <row r="83" ht="5.25" customHeight="1" x14ac:dyDescent="0.2"/>
    <row r="84" ht="19.5" customHeight="1" x14ac:dyDescent="0.2"/>
    <row r="85" ht="19.5" customHeight="1" x14ac:dyDescent="0.2"/>
    <row r="86" ht="19.5" customHeight="1" x14ac:dyDescent="0.2"/>
    <row r="87" ht="19.5" customHeight="1" x14ac:dyDescent="0.2"/>
    <row r="88" ht="17.25" customHeight="1" x14ac:dyDescent="0.2"/>
    <row r="89" ht="16.5" customHeight="1" x14ac:dyDescent="0.2"/>
    <row r="90" ht="17.25" customHeight="1" x14ac:dyDescent="0.2"/>
    <row r="91" ht="17.25" customHeight="1" x14ac:dyDescent="0.2"/>
    <row r="92" ht="17.25" customHeight="1" x14ac:dyDescent="0.2"/>
    <row r="93" ht="17.25" customHeight="1" x14ac:dyDescent="0.2"/>
    <row r="94" ht="17.25" customHeight="1" x14ac:dyDescent="0.2"/>
    <row r="95" ht="17.25" customHeight="1" x14ac:dyDescent="0.2"/>
    <row r="96" ht="17.25" customHeight="1" x14ac:dyDescent="0.2"/>
    <row r="97" ht="17.25" customHeight="1" x14ac:dyDescent="0.2"/>
    <row r="98" ht="17.25" customHeight="1" x14ac:dyDescent="0.2"/>
    <row r="102" ht="17.25" customHeight="1" x14ac:dyDescent="0.2"/>
    <row r="103" ht="17.25" customHeight="1" x14ac:dyDescent="0.2"/>
  </sheetData>
  <mergeCells count="10">
    <mergeCell ref="A46:M46"/>
    <mergeCell ref="L59:L60"/>
    <mergeCell ref="M1:N1"/>
    <mergeCell ref="C1:K1"/>
    <mergeCell ref="L41:L42"/>
    <mergeCell ref="A4:L4"/>
    <mergeCell ref="A5:L5"/>
    <mergeCell ref="A31:L31"/>
    <mergeCell ref="A19:M19"/>
    <mergeCell ref="L26:L27"/>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1408f3-8ac9-4346-8fae-7a8076793e8c" xsi:nil="true"/>
    <lcf76f155ced4ddcb4097134ff3c332f xmlns="0efcb20c-a255-4ef4-a666-2774ba48434a">
      <Terms xmlns="http://schemas.microsoft.com/office/infopath/2007/PartnerControls"/>
    </lcf76f155ced4ddcb4097134ff3c332f>
    <DocTags xmlns="0efcb20c-a255-4ef4-a666-2774ba48434a">
      <Value>accounts</Value>
    </DocTags>
  </documentManagement>
</p:properties>
</file>

<file path=customXml/itemProps1.xml><?xml version="1.0" encoding="utf-8"?>
<ds:datastoreItem xmlns:ds="http://schemas.openxmlformats.org/officeDocument/2006/customXml" ds:itemID="{BD49459A-86B5-4272-B41B-13D8BA7D475A}"/>
</file>

<file path=customXml/itemProps2.xml><?xml version="1.0" encoding="utf-8"?>
<ds:datastoreItem xmlns:ds="http://schemas.openxmlformats.org/officeDocument/2006/customXml" ds:itemID="{F3379C91-4F85-43D0-ACD0-4B282B88B6B5}">
  <ds:schemaRefs>
    <ds:schemaRef ds:uri="http://schemas.microsoft.com/sharepoint/v3/contenttype/forms"/>
  </ds:schemaRefs>
</ds:datastoreItem>
</file>

<file path=customXml/itemProps3.xml><?xml version="1.0" encoding="utf-8"?>
<ds:datastoreItem xmlns:ds="http://schemas.openxmlformats.org/officeDocument/2006/customXml" ds:itemID="{2356CAE8-7F90-48C9-9DC0-A97FEDCED5B5}">
  <ds:schemaRefs>
    <ds:schemaRef ds:uri="http://schemas.microsoft.com/office/2006/metadata/properties"/>
    <ds:schemaRef ds:uri="http://schemas.microsoft.com/office/infopath/2007/PartnerControls"/>
    <ds:schemaRef ds:uri="42e7b39a-6c90-43a7-af17-c4c63e56149a"/>
    <ds:schemaRef ds:uri="3fde8f8d-9946-466a-a79f-6025e7e907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R&amp;P Accounts</vt:lpstr>
      <vt:lpstr>Statement of balances</vt:lpstr>
      <vt:lpstr>Notes</vt:lpstr>
      <vt:lpstr>Additional notes (1)  </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Sarah Irvine</cp:lastModifiedBy>
  <cp:lastPrinted>2007-12-14T14:44:53Z</cp:lastPrinted>
  <dcterms:created xsi:type="dcterms:W3CDTF">2007-04-10T16:51:52Z</dcterms:created>
  <dcterms:modified xsi:type="dcterms:W3CDTF">2026-07-02T13:30:53Z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y fmtid="{D5CDD505-2E9C-101B-9397-08002B2CF9AE}" pid="26" name="MediaServiceImageTags">
    <vt:lpwstr/>
  </property>
</Properties>
</file>