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B818494-2A8C-4B22-B908-15EFD45B6823}" xr6:coauthVersionLast="47" xr6:coauthVersionMax="47" xr10:uidLastSave="{00000000-0000-0000-0000-000000000000}"/>
  <bookViews>
    <workbookView xWindow="-110" yWindow="-110" windowWidth="19420" windowHeight="11500" tabRatio="773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'!$A$1:$M$87</definedName>
    <definedName name="_xlnm.Print_Area" localSheetId="2">Notes!$A$1:$L$69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5" l="1"/>
  <c r="E74" i="5"/>
  <c r="AB48" i="6" l="1"/>
  <c r="AB52" i="6" s="1"/>
  <c r="AB46" i="6"/>
  <c r="AB39" i="6"/>
  <c r="AB24" i="6"/>
  <c r="AB17" i="6"/>
  <c r="AC11" i="6"/>
  <c r="K39" i="5"/>
  <c r="D14" i="2"/>
  <c r="B12" i="2"/>
  <c r="B15" i="2" l="1"/>
  <c r="C78" i="5" l="1"/>
  <c r="C79" i="5"/>
  <c r="C82" i="5"/>
  <c r="C81" i="5"/>
  <c r="C77" i="5"/>
  <c r="C76" i="5"/>
  <c r="C74" i="5"/>
  <c r="C75" i="5"/>
  <c r="E79" i="5"/>
  <c r="E76" i="5"/>
  <c r="B34" i="2" l="1"/>
  <c r="M31" i="7"/>
  <c r="L34" i="2"/>
  <c r="X31" i="6"/>
  <c r="W31" i="6"/>
  <c r="B19" i="2" l="1"/>
  <c r="U9" i="3" l="1"/>
  <c r="U7" i="3"/>
  <c r="AC31" i="6" l="1"/>
  <c r="AC10" i="6"/>
  <c r="AC12" i="6"/>
  <c r="AC13" i="6"/>
  <c r="AC14" i="6"/>
  <c r="AC15" i="6"/>
  <c r="AC16" i="6"/>
  <c r="AC9" i="6"/>
  <c r="Z39" i="6"/>
  <c r="Z46" i="6" s="1"/>
  <c r="Z17" i="6"/>
  <c r="Z24" i="6" s="1"/>
  <c r="AA39" i="6"/>
  <c r="AA46" i="6" s="1"/>
  <c r="AA17" i="6"/>
  <c r="AA24" i="6" s="1"/>
  <c r="K37" i="5"/>
  <c r="K38" i="5"/>
  <c r="AA48" i="6" l="1"/>
  <c r="Z48" i="6"/>
  <c r="Z52" i="6" s="1"/>
  <c r="AA52" i="6"/>
  <c r="C10" i="5" l="1"/>
  <c r="C14" i="5" s="1"/>
  <c r="T39" i="6" l="1"/>
  <c r="T46" i="6" s="1"/>
  <c r="U39" i="6"/>
  <c r="U46" i="6" s="1"/>
  <c r="V39" i="6"/>
  <c r="V46" i="6" s="1"/>
  <c r="W39" i="6"/>
  <c r="W46" i="6" s="1"/>
  <c r="X39" i="6"/>
  <c r="X46" i="6" s="1"/>
  <c r="Y39" i="6"/>
  <c r="Y46" i="6" s="1"/>
  <c r="R24" i="6"/>
  <c r="T17" i="6"/>
  <c r="T24" i="6" s="1"/>
  <c r="U17" i="6"/>
  <c r="U24" i="6" s="1"/>
  <c r="V17" i="6"/>
  <c r="V24" i="6" s="1"/>
  <c r="W17" i="6"/>
  <c r="W24" i="6" s="1"/>
  <c r="X17" i="6"/>
  <c r="X24" i="6" s="1"/>
  <c r="Y17" i="6"/>
  <c r="Y24" i="6" s="1"/>
  <c r="K31" i="5"/>
  <c r="K32" i="5"/>
  <c r="K33" i="5"/>
  <c r="K34" i="5"/>
  <c r="K35" i="5"/>
  <c r="K36" i="5"/>
  <c r="Y48" i="6" l="1"/>
  <c r="Y52" i="6" s="1"/>
  <c r="X48" i="6"/>
  <c r="X52" i="6" s="1"/>
  <c r="W48" i="6"/>
  <c r="W52" i="6" s="1"/>
  <c r="V48" i="6"/>
  <c r="V52" i="6" s="1"/>
  <c r="U48" i="6"/>
  <c r="U52" i="6" s="1"/>
  <c r="T48" i="6"/>
  <c r="T52" i="6" s="1"/>
  <c r="V9" i="3" l="1"/>
  <c r="K81" i="5"/>
  <c r="S39" i="6"/>
  <c r="S46" i="6" s="1"/>
  <c r="S17" i="6"/>
  <c r="S24" i="6" l="1"/>
  <c r="S48" i="6" s="1"/>
  <c r="S52" i="6" s="1"/>
  <c r="M84" i="5"/>
  <c r="L42" i="2"/>
  <c r="L21" i="2"/>
  <c r="R39" i="6"/>
  <c r="R46" i="6" s="1"/>
  <c r="R48" i="6" s="1"/>
  <c r="R52" i="6" s="1"/>
  <c r="K75" i="5"/>
  <c r="K76" i="5"/>
  <c r="K77" i="5"/>
  <c r="K78" i="5"/>
  <c r="K80" i="5"/>
  <c r="K83" i="5"/>
  <c r="C31" i="7" l="1"/>
  <c r="B21" i="2"/>
  <c r="K79" i="5"/>
  <c r="K82" i="5"/>
  <c r="K74" i="5"/>
  <c r="P9" i="3"/>
  <c r="AC17" i="6"/>
  <c r="E17" i="6" l="1"/>
  <c r="E24" i="6" s="1"/>
  <c r="F17" i="6"/>
  <c r="G17" i="6"/>
  <c r="G24" i="6" s="1"/>
  <c r="H17" i="6"/>
  <c r="I17" i="6"/>
  <c r="I24" i="6" s="1"/>
  <c r="J17" i="6"/>
  <c r="K17" i="6"/>
  <c r="K24" i="6" s="1"/>
  <c r="L17" i="6"/>
  <c r="L24" i="6" s="1"/>
  <c r="M17" i="6"/>
  <c r="M24" i="6" s="1"/>
  <c r="N17" i="6"/>
  <c r="N24" i="6" s="1"/>
  <c r="O17" i="6"/>
  <c r="O24" i="6" s="1"/>
  <c r="P17" i="6"/>
  <c r="P24" i="6" s="1"/>
  <c r="Q17" i="6"/>
  <c r="Q24" i="6" s="1"/>
  <c r="K39" i="6"/>
  <c r="K46" i="6" s="1"/>
  <c r="L39" i="6"/>
  <c r="L46" i="6" s="1"/>
  <c r="M39" i="6"/>
  <c r="M46" i="6" s="1"/>
  <c r="N39" i="6"/>
  <c r="N46" i="6" s="1"/>
  <c r="O39" i="6"/>
  <c r="O46" i="6" s="1"/>
  <c r="P39" i="6"/>
  <c r="P46" i="6" s="1"/>
  <c r="Q39" i="6"/>
  <c r="Q46" i="6" s="1"/>
  <c r="AC43" i="6"/>
  <c r="AC42" i="6"/>
  <c r="AC38" i="6"/>
  <c r="AC37" i="6"/>
  <c r="AC36" i="6"/>
  <c r="AC35" i="6"/>
  <c r="AC34" i="6"/>
  <c r="AC33" i="6"/>
  <c r="AC32" i="6"/>
  <c r="AC30" i="6"/>
  <c r="AC29" i="6"/>
  <c r="AC28" i="6"/>
  <c r="AC21" i="6"/>
  <c r="AC20" i="6"/>
  <c r="K30" i="5"/>
  <c r="K29" i="5"/>
  <c r="K28" i="5"/>
  <c r="K27" i="5"/>
  <c r="K26" i="5"/>
  <c r="K25" i="5"/>
  <c r="J14" i="2"/>
  <c r="J34" i="2"/>
  <c r="P48" i="6" l="1"/>
  <c r="P52" i="6" s="1"/>
  <c r="O48" i="6"/>
  <c r="O52" i="6" s="1"/>
  <c r="N48" i="6"/>
  <c r="N52" i="6" s="1"/>
  <c r="M48" i="6"/>
  <c r="M52" i="6" s="1"/>
  <c r="K48" i="6"/>
  <c r="K52" i="6" s="1"/>
  <c r="L48" i="6"/>
  <c r="L52" i="6" s="1"/>
  <c r="Q48" i="6"/>
  <c r="Q52" i="6" s="1"/>
  <c r="D76" i="5"/>
  <c r="D78" i="5" l="1"/>
  <c r="D77" i="5"/>
  <c r="N5" i="3"/>
  <c r="C47" i="5" l="1"/>
  <c r="K22" i="5"/>
  <c r="K23" i="5"/>
  <c r="K24" i="5"/>
  <c r="J44" i="6"/>
  <c r="H44" i="6"/>
  <c r="F44" i="6"/>
  <c r="J39" i="6"/>
  <c r="H39" i="6"/>
  <c r="F39" i="6"/>
  <c r="J22" i="6"/>
  <c r="J24" i="6" s="1"/>
  <c r="H22" i="6"/>
  <c r="H24" i="6" s="1"/>
  <c r="F22" i="6"/>
  <c r="F24" i="6" s="1"/>
  <c r="F46" i="6" l="1"/>
  <c r="F48" i="6" s="1"/>
  <c r="F52" i="6" s="1"/>
  <c r="J46" i="6"/>
  <c r="J48" i="6" s="1"/>
  <c r="J52" i="6" s="1"/>
  <c r="H46" i="6"/>
  <c r="H48" i="6" s="1"/>
  <c r="H52" i="6" s="1"/>
  <c r="E47" i="5" l="1"/>
  <c r="E49" i="5" s="1"/>
  <c r="C10" i="7" l="1"/>
  <c r="C11" i="7"/>
  <c r="C13" i="7"/>
  <c r="C14" i="7"/>
  <c r="C15" i="7"/>
  <c r="C16" i="7"/>
  <c r="C9" i="7"/>
  <c r="K21" i="5"/>
  <c r="K46" i="5"/>
  <c r="K55" i="5"/>
  <c r="K56" i="5"/>
  <c r="K57" i="5"/>
  <c r="K58" i="5"/>
  <c r="K59" i="5"/>
  <c r="C12" i="7"/>
  <c r="K54" i="5"/>
  <c r="C67" i="5" l="1"/>
  <c r="K42" i="7" l="1"/>
  <c r="K43" i="7"/>
  <c r="AC50" i="6"/>
  <c r="K50" i="7"/>
  <c r="K11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6" i="5"/>
  <c r="M47" i="5"/>
  <c r="L49" i="5"/>
  <c r="J49" i="5"/>
  <c r="F49" i="5"/>
  <c r="C49" i="5"/>
  <c r="K66" i="5"/>
  <c r="K65" i="5"/>
  <c r="K64" i="5"/>
  <c r="K63" i="5"/>
  <c r="K62" i="5"/>
  <c r="K61" i="5"/>
  <c r="K60" i="5"/>
  <c r="M67" i="5"/>
  <c r="L26" i="2"/>
  <c r="L47" i="2"/>
  <c r="B42" i="2"/>
  <c r="B47" i="2"/>
  <c r="B26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47" i="2"/>
  <c r="D42" i="2"/>
  <c r="F26" i="2"/>
  <c r="F47" i="2"/>
  <c r="F42" i="2"/>
  <c r="H26" i="2"/>
  <c r="H47" i="2"/>
  <c r="H42" i="2"/>
  <c r="J53" i="2"/>
  <c r="K31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AE17" i="6"/>
  <c r="AE22" i="6"/>
  <c r="AE44" i="6"/>
  <c r="AE39" i="6"/>
  <c r="D17" i="6"/>
  <c r="D22" i="6"/>
  <c r="D44" i="6"/>
  <c r="D39" i="6"/>
  <c r="AE1" i="6"/>
  <c r="I84" i="5"/>
  <c r="I86" i="5" s="1"/>
  <c r="G84" i="5"/>
  <c r="G86" i="5" s="1"/>
  <c r="E84" i="5"/>
  <c r="J19" i="2"/>
  <c r="I67" i="5"/>
  <c r="I69" i="5" s="1"/>
  <c r="G67" i="5"/>
  <c r="G69" i="5" s="1"/>
  <c r="E67" i="5"/>
  <c r="E69" i="5" s="1"/>
  <c r="M1" i="5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K1" i="4"/>
  <c r="B1" i="4"/>
  <c r="B1" i="3"/>
  <c r="N1" i="3"/>
  <c r="H49" i="2" l="1"/>
  <c r="J47" i="2"/>
  <c r="L49" i="2"/>
  <c r="E86" i="5"/>
  <c r="C84" i="5"/>
  <c r="N34" i="2" s="1"/>
  <c r="O34" i="2" s="1"/>
  <c r="M17" i="7"/>
  <c r="M24" i="7" s="1"/>
  <c r="AE24" i="6"/>
  <c r="K67" i="5"/>
  <c r="B49" i="2"/>
  <c r="D28" i="2"/>
  <c r="J48" i="2"/>
  <c r="AE46" i="6"/>
  <c r="AC18" i="6"/>
  <c r="C24" i="7"/>
  <c r="E24" i="7"/>
  <c r="G24" i="7"/>
  <c r="I24" i="7"/>
  <c r="K22" i="7"/>
  <c r="F49" i="2"/>
  <c r="K39" i="7"/>
  <c r="K40" i="7" s="1"/>
  <c r="K17" i="7"/>
  <c r="K18" i="7" s="1"/>
  <c r="F28" i="2"/>
  <c r="F51" i="2" s="1"/>
  <c r="F55" i="2" s="1"/>
  <c r="J10" i="3" s="1"/>
  <c r="D24" i="6"/>
  <c r="C46" i="7"/>
  <c r="E46" i="7"/>
  <c r="G46" i="7"/>
  <c r="I46" i="7"/>
  <c r="M46" i="7"/>
  <c r="H28" i="2"/>
  <c r="H51" i="2" s="1"/>
  <c r="H55" i="2" s="1"/>
  <c r="L10" i="3" s="1"/>
  <c r="L28" i="2"/>
  <c r="K14" i="5"/>
  <c r="K16" i="5" s="1"/>
  <c r="K44" i="7"/>
  <c r="J21" i="2"/>
  <c r="P21" i="2" s="1"/>
  <c r="K84" i="5"/>
  <c r="D46" i="6"/>
  <c r="AC39" i="6"/>
  <c r="AC46" i="6" s="1"/>
  <c r="AC22" i="6"/>
  <c r="D49" i="2"/>
  <c r="J42" i="2"/>
  <c r="P42" i="2" s="1"/>
  <c r="K47" i="5"/>
  <c r="AC44" i="6"/>
  <c r="B28" i="2"/>
  <c r="K45" i="7"/>
  <c r="E48" i="7"/>
  <c r="E52" i="7" s="1"/>
  <c r="J27" i="2"/>
  <c r="AC40" i="6" l="1"/>
  <c r="AC47" i="6"/>
  <c r="J49" i="2"/>
  <c r="J50" i="2" s="1"/>
  <c r="L51" i="2"/>
  <c r="L55" i="2" s="1"/>
  <c r="P10" i="3" s="1"/>
  <c r="D48" i="6"/>
  <c r="D52" i="6" s="1"/>
  <c r="D51" i="2"/>
  <c r="D55" i="2" s="1"/>
  <c r="B51" i="2"/>
  <c r="B55" i="2" s="1"/>
  <c r="F6" i="3" s="1"/>
  <c r="AE48" i="6"/>
  <c r="AE52" i="6" s="1"/>
  <c r="G48" i="7"/>
  <c r="G52" i="7" s="1"/>
  <c r="I48" i="7"/>
  <c r="I52" i="7" s="1"/>
  <c r="M48" i="7"/>
  <c r="M52" i="7" s="1"/>
  <c r="K46" i="7"/>
  <c r="K47" i="7" s="1"/>
  <c r="AC24" i="6"/>
  <c r="AC25" i="6" s="1"/>
  <c r="C48" i="7"/>
  <c r="C52" i="7" s="1"/>
  <c r="J22" i="2"/>
  <c r="J43" i="2"/>
  <c r="AC45" i="6"/>
  <c r="K24" i="7"/>
  <c r="K25" i="7" s="1"/>
  <c r="J28" i="2"/>
  <c r="H6" i="3" l="1"/>
  <c r="H9" i="3" s="1"/>
  <c r="J29" i="2"/>
  <c r="J51" i="2"/>
  <c r="J55" i="2" s="1"/>
  <c r="F9" i="3"/>
  <c r="AC48" i="6"/>
  <c r="AC52" i="6" s="1"/>
  <c r="AC53" i="6" s="1"/>
  <c r="K48" i="7"/>
  <c r="K52" i="7" s="1"/>
  <c r="K53" i="7" s="1"/>
  <c r="F10" i="3"/>
  <c r="N6" i="3" l="1"/>
  <c r="N10" i="3" s="1"/>
  <c r="H10" i="3"/>
  <c r="N9" i="3"/>
  <c r="W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tc={2C4681FE-CE82-4915-8964-07C5E52E46DA}</author>
    <author>tc={9DE7731D-1363-42D2-8295-C0633A605ADC}</author>
  </authors>
  <commentList>
    <comment ref="B12" authorId="0" shapeId="0" xr:uid="{2C4681FE-CE82-4915-8964-07C5E52E46D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£8122.72 bank+16,237+25,405.25+£250 fundraising
</t>
      </text>
    </comment>
    <comment ref="B15" authorId="1" shapeId="0" xr:uid="{9DE7731D-1363-42D2-8295-C0633A605AD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£537.74 fundraising bank account +£540 bank
</t>
      </text>
    </comment>
  </commentList>
</comments>
</file>

<file path=xl/sharedStrings.xml><?xml version="1.0" encoding="utf-8"?>
<sst xmlns="http://schemas.openxmlformats.org/spreadsheetml/2006/main" count="365" uniqueCount="209">
  <si>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</si>
  <si>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</si>
  <si>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</si>
  <si>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</si>
  <si>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</si>
  <si>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</si>
  <si>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</si>
  <si>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</si>
  <si>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</si>
  <si>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</si>
  <si>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</si>
  <si>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</si>
  <si>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</si>
  <si>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</si>
  <si>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</si>
  <si>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</si>
  <si>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</si>
  <si>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</si>
  <si>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</si>
  <si>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</si>
  <si>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</si>
  <si>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</si>
  <si>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</si>
  <si>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</si>
  <si>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</si>
  <si>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</si>
  <si>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</si>
  <si>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</si>
  <si>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</si>
  <si>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</si>
  <si>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</si>
  <si>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</si>
  <si>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</si>
  <si>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</si>
  <si>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</si>
  <si>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</si>
  <si>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</si>
  <si>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</si>
  <si>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</si>
  <si>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</si>
  <si>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</si>
  <si>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</si>
  <si>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</si>
  <si>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</si>
  <si>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</si>
  <si>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</si>
  <si>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</si>
  <si>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</si>
  <si>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</si>
  <si>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</si>
  <si>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</si>
  <si>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</si>
  <si>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</si>
  <si>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</si>
  <si>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</si>
  <si>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</si>
  <si>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</si>
  <si>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</si>
  <si>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</si>
  <si>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</si>
  <si>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</si>
  <si>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</si>
  <si>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</si>
  <si>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</si>
  <si>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</si>
  <si>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</si>
  <si>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</si>
  <si>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</si>
  <si>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</si>
  <si>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</si>
  <si>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</si>
  <si>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</si>
  <si>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</si>
  <si>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</si>
  <si>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</si>
  <si>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</si>
  <si>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</si>
  <si>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</si>
  <si>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</si>
  <si>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</si>
  <si>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</si>
  <si>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</si>
  <si>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</si>
  <si>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</si>
  <si>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</si>
  <si>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</si>
  <si>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</si>
  <si>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</si>
  <si>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</si>
  <si>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</si>
  <si>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</si>
  <si>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</si>
  <si>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</si>
  <si>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</si>
  <si>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</si>
  <si>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</si>
  <si>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</si>
  <si>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</si>
  <si>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</si>
  <si>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</si>
  <si>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</si>
  <si>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</si>
  <si>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>Unrestricted fund 2 - enter name of fund below</t>
  </si>
  <si>
    <t>Unrestricted fund 3 - enter name of fund below</t>
  </si>
  <si>
    <t>Unrestricted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</si>
  <si>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</si>
  <si>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</si>
  <si>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</si>
  <si>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</si>
  <si>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</si>
  <si>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</si>
  <si>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</si>
  <si>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</si>
  <si>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</si>
  <si>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</si>
  <si>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</si>
  <si>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</si>
  <si>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</si>
  <si>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</si>
  <si>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</si>
  <si>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</si>
  <si>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</si>
  <si>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</si>
  <si>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</si>
  <si>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</si>
  <si>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</si>
  <si>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</si>
  <si>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</si>
  <si>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</si>
  <si>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Aberdeen Amateur Athletic Club</t>
  </si>
  <si>
    <t>SC050149</t>
  </si>
  <si>
    <t>Bus income</t>
  </si>
  <si>
    <t>Club Kit</t>
  </si>
  <si>
    <t>Training Course Income</t>
  </si>
  <si>
    <t>Governing Body fees</t>
  </si>
  <si>
    <t>Travel Expenses</t>
  </si>
  <si>
    <t>Hall Hire</t>
  </si>
  <si>
    <t>Club Administration</t>
  </si>
  <si>
    <t>Equipment</t>
  </si>
  <si>
    <t>Unrestricted Fund</t>
  </si>
  <si>
    <t>IYSF - WESTHILL SATELLITE</t>
  </si>
  <si>
    <t>AWARDS FOR ALL - SATELLITE EQUIPMENT</t>
  </si>
  <si>
    <t>SPORT SCOTLAND - DCI FUNDING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</si>
  <si>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</si>
  <si>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</si>
  <si>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</si>
  <si>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</si>
  <si>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</si>
  <si>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</si>
  <si>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</si>
  <si>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</si>
  <si>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</si>
  <si>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</si>
  <si>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The unrestricted funds are for the general operations and activities of the athletics club.</t>
  </si>
  <si>
    <t>#11</t>
  </si>
  <si>
    <t>#12</t>
  </si>
  <si>
    <t>CHRIS SMITH MEMORIAL FUND</t>
  </si>
  <si>
    <t>WCVO COMMUNITIES HEALTH/WELLBEING - JOGS</t>
  </si>
  <si>
    <t>SCOTTISH ATHLETIICS - #ONTHERIGHTTRACK</t>
  </si>
  <si>
    <t>Bank</t>
  </si>
  <si>
    <t>Fundraising</t>
  </si>
  <si>
    <t>Misc other</t>
  </si>
  <si>
    <t>Wages</t>
  </si>
  <si>
    <t>ACVO COMMUNITIES HEALTH/WELLBEING - JOGS</t>
  </si>
  <si>
    <t>Coaching courses</t>
  </si>
  <si>
    <t>X</t>
  </si>
  <si>
    <t xml:space="preserve"> </t>
  </si>
  <si>
    <t>CASH FOR KIDS NORTHSOUND</t>
  </si>
  <si>
    <t>AWARDS FOR ALL - 2023</t>
  </si>
  <si>
    <t>ALDI SCOTTISH SPORT FUND</t>
  </si>
  <si>
    <t>POSITIVE PARTICIPATION GRANT</t>
  </si>
  <si>
    <t>#13</t>
  </si>
  <si>
    <t>ARNOLD CLARK - ABERDEEN SATELLITE EXPENSES</t>
  </si>
  <si>
    <t>ABERDEEN CITY COUNCIL</t>
  </si>
  <si>
    <t xml:space="preserve"> LOCAL GIVING - NATIONAL LOTTERY</t>
  </si>
  <si>
    <t>Subscriptions + fees</t>
  </si>
  <si>
    <t>LOCAL GIVING - NATIONAL LOTTERY</t>
  </si>
  <si>
    <t xml:space="preserve">ABERDEEN CITY COUNCIL   </t>
  </si>
  <si>
    <t>#14</t>
  </si>
  <si>
    <t>#15</t>
  </si>
  <si>
    <t>#16</t>
  </si>
  <si>
    <t>Entry + league fees</t>
  </si>
  <si>
    <t>Entry + League Fees</t>
  </si>
  <si>
    <t>ATHLETICS TRUST - PARA ATHLETES HARDSHIP  FUND AND EQUIPMENT</t>
  </si>
  <si>
    <t xml:space="preserve">NHS - COMMUNITY ATHLETICS  </t>
  </si>
  <si>
    <t xml:space="preserve"> ROBERTSON TRUST - COMMUNITY ATHLETICS </t>
  </si>
  <si>
    <t>NORTHWOOD - PARA GROUP SUPPORT</t>
  </si>
  <si>
    <t>BRUCE WAKE CHARITY - PURCHASE RACING WHEELCHAIRS</t>
  </si>
  <si>
    <t>ABERDEEN CITY COUNCIL - SELECTION BOXES FOR COMMUNITY SESSIONS</t>
  </si>
  <si>
    <t>#17</t>
  </si>
  <si>
    <t>#18</t>
  </si>
  <si>
    <t>#19</t>
  </si>
  <si>
    <t>ATHLETICS TRUST</t>
  </si>
  <si>
    <t>BRUCE WAKE CHARITY</t>
  </si>
  <si>
    <t xml:space="preserve"> NORTHWOOD</t>
  </si>
  <si>
    <t xml:space="preserve"> ABERDEEN CITY COUNCIL </t>
  </si>
  <si>
    <t xml:space="preserve">ROBERTSON TRUST </t>
  </si>
  <si>
    <t>NHS</t>
  </si>
  <si>
    <t>Per spreadsheet</t>
  </si>
  <si>
    <t>ST JAMES PLACE</t>
  </si>
  <si>
    <t>ATHLETICS TRUST TRANSFORM LIVES</t>
  </si>
  <si>
    <t>#20</t>
  </si>
  <si>
    <t>#21</t>
  </si>
  <si>
    <t xml:space="preserve">ST JAMES PLACE                    </t>
  </si>
  <si>
    <t xml:space="preserve">ATHLETICS TRUST TRANSFORM LIVES  </t>
  </si>
  <si>
    <t xml:space="preserve">#1 - SPORT SCOTLAND - DCI FUNDING                                                                                                                             #2- CHRIS SMITH MEMORIAL FUND                                                                                                                             #3 - ACVO COMMUNITIES HEALTH/WELLBEING - JOGS                                                                                                                                                                                                                        #4 - SCOTTISH ATHLETIICS - #ONTHERIGHTTRACK                                                                                                    #5 - LOCAL GIVING - NATIONAL LOTTERY                                                                                                                                                    #6- ABERDEEN CITY COUNCIL                                                                                                                                              #7 - CASH FOR KIDS NORTHSOUND                                                                                                                                   #8 - AWARDS FOR ALL - 2023                                                                                                                                                  #9 - ALDI SCOTTISH SPORT FUND                                                                                                                                             #10 - POSITIVE PARTICIPATION GRANT                                                                                                                                 #11 - IYSF - WESTHILL SATELLITE                                                                                                                                #12 - AWARDS FOR ALL - SATELLITE EQUIPMENT                                                                                                    #13 - ARNOLD CLARK - ABERDEEN SATELLITE EXPENSES                                                                                #14 - ATHLETICS TRUST - PARA ATHLETES HARDSHIP  FUND AND EQUIPMENT                                              #15 - BRUCE WAKE CHARITY - PURCHASE RACING WHEELCHAIRS                                                                 #16 = ABERDEEN CITY COUNCIL - SELECTION BOXES FOR COMMUNITY SESSIONS                                  #17 - NHS - COMMUNITY ATHLETICS                                                                                                                             #18 - ROBERTSON TRUST - COMMUNITY ATHLETICS                                                                                                #19 - NORTHWOOD - PARA GROUP SUPPORT                                                                                                            #20 - ST JAMES PLACE                                                                                                                                                       #21 - ATHLETICS TRUST TRANSFORM LIVES                                                                                                            #22 - NORTHWOOD/GIVING WHEEL                                                                         </t>
  </si>
  <si>
    <t xml:space="preserve">NORTHWOOD/GIVING WHEEL          </t>
  </si>
  <si>
    <t>#22</t>
  </si>
  <si>
    <r>
      <t xml:space="preserve"> </t>
    </r>
    <r>
      <rPr>
        <b/>
        <sz val="11"/>
        <rFont val="Arial"/>
        <family val="2"/>
      </rPr>
      <t xml:space="preserve">#1 </t>
    </r>
    <r>
      <rPr>
        <sz val="11"/>
        <rFont val="Arial"/>
        <family val="2"/>
      </rPr>
      <t>- Funding to cover CM and CDO costs</t>
    </r>
    <r>
      <rPr>
        <b/>
        <sz val="11"/>
        <rFont val="Arial"/>
        <family val="2"/>
      </rPr>
      <t xml:space="preserve"> #2</t>
    </r>
    <r>
      <rPr>
        <sz val="11"/>
        <rFont val="Arial"/>
        <family val="2"/>
      </rPr>
      <t xml:space="preserve"> - Costs to assist setting up community athletics programs </t>
    </r>
    <r>
      <rPr>
        <b/>
        <sz val="11"/>
        <rFont val="Arial"/>
        <family val="2"/>
      </rPr>
      <t>#3</t>
    </r>
    <r>
      <rPr>
        <sz val="11"/>
        <rFont val="Arial"/>
        <family val="2"/>
      </rPr>
      <t xml:space="preserve"> - Expansion of jogscotland </t>
    </r>
    <r>
      <rPr>
        <b/>
        <sz val="11"/>
        <rFont val="Arial"/>
        <family val="2"/>
      </rPr>
      <t>#4</t>
    </r>
    <r>
      <rPr>
        <sz val="11"/>
        <rFont val="Arial"/>
        <family val="2"/>
      </rPr>
      <t xml:space="preserve"> - promote health eating</t>
    </r>
    <r>
      <rPr>
        <b/>
        <sz val="11"/>
        <rFont val="Arial"/>
        <family val="2"/>
      </rPr>
      <t xml:space="preserve"> #5 </t>
    </r>
    <r>
      <rPr>
        <sz val="11"/>
        <rFont val="Arial"/>
        <family val="2"/>
      </rPr>
      <t xml:space="preserve">- Coach Pay/training/rent/ facililites hire/equiment  </t>
    </r>
    <r>
      <rPr>
        <b/>
        <sz val="11"/>
        <rFont val="Arial"/>
        <family val="2"/>
      </rPr>
      <t xml:space="preserve">#6 </t>
    </r>
    <r>
      <rPr>
        <sz val="11"/>
        <rFont val="Arial"/>
        <family val="2"/>
      </rPr>
      <t xml:space="preserve">- Inchgarth - coach pay; coaching courses; fruit </t>
    </r>
    <r>
      <rPr>
        <b/>
        <sz val="11"/>
        <rFont val="Arial"/>
        <family val="2"/>
      </rPr>
      <t>#7</t>
    </r>
    <r>
      <rPr>
        <sz val="11"/>
        <rFont val="Arial"/>
        <family val="2"/>
      </rPr>
      <t xml:space="preserve"> - Disability Athletics Equipmen</t>
    </r>
    <r>
      <rPr>
        <b/>
        <sz val="11"/>
        <rFont val="Arial"/>
        <family val="2"/>
      </rPr>
      <t xml:space="preserve">t #8 </t>
    </r>
    <r>
      <rPr>
        <sz val="11"/>
        <rFont val="Arial"/>
        <family val="2"/>
      </rPr>
      <t>-Satellite Expenses, salaries, equipment</t>
    </r>
    <r>
      <rPr>
        <b/>
        <sz val="11"/>
        <rFont val="Arial"/>
        <family val="2"/>
      </rPr>
      <t xml:space="preserve"> #9</t>
    </r>
    <r>
      <rPr>
        <sz val="11"/>
        <rFont val="Arial"/>
        <family val="2"/>
      </rPr>
      <t xml:space="preserve"> - Disability Athletics - Racing wheelchairs and pushing gloves </t>
    </r>
    <r>
      <rPr>
        <b/>
        <sz val="11"/>
        <rFont val="Arial"/>
        <family val="2"/>
      </rPr>
      <t>#10</t>
    </r>
    <r>
      <rPr>
        <sz val="11"/>
        <rFont val="Arial"/>
        <family val="2"/>
      </rPr>
      <t xml:space="preserve"> - Flying start wheelchair</t>
    </r>
    <r>
      <rPr>
        <b/>
        <sz val="11"/>
        <rFont val="Arial"/>
        <family val="2"/>
      </rPr>
      <t xml:space="preserve"> #11</t>
    </r>
    <r>
      <rPr>
        <sz val="11"/>
        <rFont val="Arial"/>
        <family val="2"/>
      </rPr>
      <t xml:space="preserve"> - Cover the costs for coaching courses and equipment for satellite group  </t>
    </r>
    <r>
      <rPr>
        <b/>
        <sz val="11"/>
        <rFont val="Arial"/>
        <family val="2"/>
      </rPr>
      <t>#12</t>
    </r>
    <r>
      <rPr>
        <sz val="11"/>
        <rFont val="Arial"/>
        <family val="2"/>
      </rPr>
      <t xml:space="preserve"> - Satellites equipment </t>
    </r>
    <r>
      <rPr>
        <b/>
        <sz val="11"/>
        <rFont val="Arial"/>
        <family val="2"/>
      </rPr>
      <t>#13</t>
    </r>
    <r>
      <rPr>
        <sz val="11"/>
        <rFont val="Arial"/>
        <family val="2"/>
      </rPr>
      <t xml:space="preserve"> - General satellite expenses.  </t>
    </r>
    <r>
      <rPr>
        <b/>
        <sz val="11"/>
        <rFont val="Arial"/>
        <family val="2"/>
      </rPr>
      <t>#14 -</t>
    </r>
    <r>
      <rPr>
        <sz val="11"/>
        <rFont val="Arial"/>
        <family val="2"/>
      </rPr>
      <t>para athletes hardship  fund and equipment</t>
    </r>
    <r>
      <rPr>
        <b/>
        <sz val="11"/>
        <rFont val="Arial"/>
        <family val="2"/>
      </rPr>
      <t xml:space="preserve"> #15 -</t>
    </r>
    <r>
      <rPr>
        <sz val="11"/>
        <rFont val="Arial"/>
        <family val="2"/>
      </rPr>
      <t xml:space="preserve"> purchase racing wheelchairs</t>
    </r>
    <r>
      <rPr>
        <b/>
        <sz val="11"/>
        <rFont val="Arial"/>
        <family val="2"/>
      </rPr>
      <t xml:space="preserve"> #16 - </t>
    </r>
    <r>
      <rPr>
        <sz val="11"/>
        <rFont val="Arial"/>
        <family val="2"/>
      </rPr>
      <t xml:space="preserve">selection boxes for community sessions  </t>
    </r>
    <r>
      <rPr>
        <b/>
        <sz val="11"/>
        <rFont val="Arial"/>
        <family val="2"/>
      </rPr>
      <t xml:space="preserve"> #17 - </t>
    </r>
    <r>
      <rPr>
        <sz val="11"/>
        <rFont val="Arial"/>
        <family val="2"/>
      </rPr>
      <t>community athletics</t>
    </r>
    <r>
      <rPr>
        <b/>
        <sz val="11"/>
        <rFont val="Arial"/>
        <family val="2"/>
      </rPr>
      <t xml:space="preserve">    #18 - </t>
    </r>
    <r>
      <rPr>
        <sz val="11"/>
        <rFont val="Arial"/>
        <family val="2"/>
      </rPr>
      <t>community athletics</t>
    </r>
    <r>
      <rPr>
        <b/>
        <sz val="11"/>
        <rFont val="Arial"/>
        <family val="2"/>
      </rPr>
      <t xml:space="preserve"> #19 - </t>
    </r>
    <r>
      <rPr>
        <sz val="11"/>
        <rFont val="Arial"/>
        <family val="2"/>
      </rPr>
      <t xml:space="preserve">para group support </t>
    </r>
    <r>
      <rPr>
        <b/>
        <sz val="11"/>
        <rFont val="Arial"/>
        <family val="2"/>
      </rPr>
      <t>#20</t>
    </r>
    <r>
      <rPr>
        <sz val="11"/>
        <rFont val="Arial"/>
        <family val="2"/>
      </rPr>
      <t xml:space="preserve"> - transport costs</t>
    </r>
    <r>
      <rPr>
        <b/>
        <sz val="11"/>
        <rFont val="Arial"/>
        <family val="2"/>
      </rPr>
      <t xml:space="preserve"> #21 </t>
    </r>
    <r>
      <rPr>
        <sz val="11"/>
        <rFont val="Arial"/>
        <family val="2"/>
      </rPr>
      <t xml:space="preserve">-  free summer camps  </t>
    </r>
    <r>
      <rPr>
        <b/>
        <sz val="11"/>
        <rFont val="Arial"/>
        <family val="2"/>
      </rPr>
      <t>#22</t>
    </r>
    <r>
      <rPr>
        <sz val="11"/>
        <rFont val="Arial"/>
        <family val="2"/>
      </rPr>
      <t xml:space="preserve"> -  Para group support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>Funds shown with a deficit have brought forward balances from prior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</si>
</sst>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  <numFmt numFmtId="169" formatCode="_-* #,##0.00_-;\-* #,##0.00_-;_-* &quot;-&quot;_-;_-@_-"/>
    <numFmt numFmtId="170" formatCode="* #,##0.00_-;\(* #,##0.00\)_-;_-* &quot;-&quot;??_-;_-@_-"/>
    <numFmt numFmtId="171" formatCode="_-* #,##0.000000_-;\-* #,##0.000000_-;_-* &quot;-&quot;??_-;_-@_-"/>
  </numFmts>
  <fonts count="32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2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" fillId="0" borderId="5" xfId="0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right" vertical="top" wrapText="1"/>
      <protection locked="0"/>
    </xf>
    <xf numFmtId="41" fontId="3" fillId="0" borderId="5" xfId="1" applyNumberFormat="1" applyFont="1" applyFill="1" applyBorder="1" applyProtection="1">
      <protection locked="0"/>
    </xf>
    <xf numFmtId="41" fontId="3" fillId="0" borderId="5" xfId="1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41" fontId="3" fillId="0" borderId="6" xfId="1" applyNumberFormat="1" applyFont="1" applyFill="1" applyBorder="1" applyAlignment="1" applyProtection="1">
      <alignment vertical="top" wrapText="1"/>
      <protection locked="0"/>
    </xf>
    <xf numFmtId="41" fontId="3" fillId="0" borderId="5" xfId="1" applyNumberFormat="1" applyFont="1" applyFill="1" applyBorder="1" applyAlignment="1" applyProtection="1">
      <alignment wrapText="1"/>
      <protection locked="0"/>
    </xf>
    <xf numFmtId="43" fontId="12" fillId="0" borderId="0" xfId="1" applyFont="1" applyProtection="1">
      <protection locked="0"/>
    </xf>
    <xf numFmtId="169" fontId="3" fillId="3" borderId="16" xfId="1" applyNumberFormat="1" applyFont="1" applyFill="1" applyBorder="1" applyAlignment="1" applyProtection="1">
      <alignment wrapText="1"/>
    </xf>
    <xf numFmtId="169" fontId="3" fillId="0" borderId="0" xfId="1" applyNumberFormat="1" applyFont="1" applyAlignment="1" applyProtection="1">
      <alignment wrapText="1"/>
      <protection locked="0"/>
    </xf>
    <xf numFmtId="169" fontId="3" fillId="0" borderId="0" xfId="1" applyNumberFormat="1" applyFont="1" applyBorder="1" applyAlignment="1" applyProtection="1">
      <alignment wrapText="1"/>
      <protection locked="0"/>
    </xf>
    <xf numFmtId="169" fontId="2" fillId="0" borderId="0" xfId="1" applyNumberFormat="1" applyFont="1" applyBorder="1" applyAlignment="1" applyProtection="1">
      <alignment wrapText="1"/>
      <protection locked="0"/>
    </xf>
    <xf numFmtId="169" fontId="2" fillId="0" borderId="0" xfId="1" applyNumberFormat="1" applyFont="1" applyAlignment="1" applyProtection="1">
      <alignment wrapText="1"/>
      <protection locked="0"/>
    </xf>
    <xf numFmtId="169" fontId="2" fillId="0" borderId="0" xfId="0" applyNumberFormat="1" applyFont="1" applyProtection="1">
      <protection locked="0"/>
    </xf>
    <xf numFmtId="169" fontId="3" fillId="3" borderId="17" xfId="1" applyNumberFormat="1" applyFont="1" applyFill="1" applyBorder="1" applyAlignment="1" applyProtection="1">
      <alignment wrapText="1"/>
    </xf>
    <xf numFmtId="169" fontId="12" fillId="0" borderId="0" xfId="0" applyNumberFormat="1" applyFont="1" applyProtection="1">
      <protection locked="0"/>
    </xf>
    <xf numFmtId="165" fontId="3" fillId="0" borderId="5" xfId="1" applyNumberFormat="1" applyFont="1" applyFill="1" applyBorder="1" applyAlignment="1" applyProtection="1">
      <alignment horizontal="center" wrapText="1"/>
      <protection locked="0"/>
    </xf>
    <xf numFmtId="3" fontId="3" fillId="0" borderId="5" xfId="1" applyNumberFormat="1" applyFont="1" applyFill="1" applyBorder="1" applyAlignment="1" applyProtection="1">
      <alignment horizontal="center" wrapText="1"/>
      <protection locked="0"/>
    </xf>
    <xf numFmtId="3" fontId="3" fillId="0" borderId="5" xfId="1" applyNumberFormat="1" applyFont="1" applyFill="1" applyBorder="1" applyAlignment="1" applyProtection="1">
      <alignment horizontal="right" wrapText="1"/>
      <protection locked="0"/>
    </xf>
    <xf numFmtId="3" fontId="3" fillId="0" borderId="5" xfId="1" applyNumberFormat="1" applyFont="1" applyFill="1" applyBorder="1" applyAlignment="1" applyProtection="1">
      <alignment wrapText="1"/>
      <protection locked="0"/>
    </xf>
    <xf numFmtId="41" fontId="7" fillId="0" borderId="0" xfId="1" applyNumberFormat="1" applyFont="1" applyFill="1" applyAlignment="1" applyProtection="1">
      <alignment wrapText="1"/>
      <protection locked="0"/>
    </xf>
    <xf numFmtId="41" fontId="3" fillId="0" borderId="5" xfId="1" applyNumberFormat="1" applyFont="1" applyFill="1" applyBorder="1" applyAlignment="1" applyProtection="1">
      <alignment horizontal="right" vertical="top"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169" fontId="12" fillId="0" borderId="0" xfId="1" applyNumberFormat="1" applyFont="1" applyProtection="1">
      <protection locked="0"/>
    </xf>
    <xf numFmtId="168" fontId="3" fillId="3" borderId="14" xfId="1" applyNumberFormat="1" applyFont="1" applyFill="1" applyBorder="1" applyAlignment="1" applyProtection="1">
      <alignment horizontal="right" shrinkToFit="1"/>
    </xf>
    <xf numFmtId="41" fontId="3" fillId="0" borderId="5" xfId="1" applyNumberFormat="1" applyFont="1" applyFill="1" applyBorder="1" applyAlignment="1" applyProtection="1">
      <alignment wrapText="1"/>
    </xf>
    <xf numFmtId="41" fontId="2" fillId="0" borderId="19" xfId="1" applyNumberFormat="1" applyFont="1" applyFill="1" applyBorder="1" applyAlignment="1" applyProtection="1">
      <alignment horizontal="left" wrapText="1"/>
      <protection locked="0"/>
    </xf>
    <xf numFmtId="41" fontId="2" fillId="0" borderId="1" xfId="1" applyNumberFormat="1" applyFont="1" applyFill="1" applyBorder="1" applyAlignment="1" applyProtection="1">
      <alignment horizontal="left" wrapText="1"/>
      <protection locked="0"/>
    </xf>
    <xf numFmtId="41" fontId="2" fillId="0" borderId="20" xfId="1" applyNumberFormat="1" applyFont="1" applyFill="1" applyBorder="1" applyAlignment="1" applyProtection="1">
      <alignment horizontal="left" wrapText="1"/>
      <protection locked="0"/>
    </xf>
    <xf numFmtId="168" fontId="3" fillId="0" borderId="0" xfId="1" applyNumberFormat="1" applyFont="1" applyAlignment="1" applyProtection="1">
      <alignment horizontal="right" wrapText="1"/>
      <protection locked="0"/>
    </xf>
    <xf numFmtId="41" fontId="10" fillId="0" borderId="0" xfId="1" applyNumberFormat="1" applyFont="1" applyFill="1" applyBorder="1" applyAlignment="1" applyProtection="1">
      <alignment horizontal="center" vertical="top" wrapText="1"/>
      <protection locked="0"/>
    </xf>
    <xf numFmtId="169" fontId="3" fillId="0" borderId="5" xfId="0" applyNumberFormat="1" applyFont="1" applyBorder="1" applyAlignment="1" applyProtection="1">
      <alignment horizontal="right"/>
      <protection locked="0"/>
    </xf>
    <xf numFmtId="169" fontId="6" fillId="0" borderId="0" xfId="0" applyNumberFormat="1" applyFont="1" applyAlignment="1" applyProtection="1">
      <alignment vertical="top" wrapText="1"/>
      <protection locked="0"/>
    </xf>
    <xf numFmtId="43" fontId="12" fillId="0" borderId="0" xfId="1" applyFont="1" applyFill="1" applyProtection="1">
      <protection locked="0"/>
    </xf>
    <xf numFmtId="41" fontId="2" fillId="0" borderId="0" xfId="1" applyNumberFormat="1" applyFont="1" applyFill="1" applyProtection="1">
      <protection locked="0"/>
    </xf>
    <xf numFmtId="0" fontId="19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5" xfId="0" applyFont="1" applyBorder="1" applyAlignment="1">
      <alignment horizontal="right" wrapText="1"/>
    </xf>
    <xf numFmtId="168" fontId="12" fillId="0" borderId="0" xfId="0" applyNumberFormat="1" applyFont="1" applyProtection="1">
      <protection locked="0"/>
    </xf>
    <xf numFmtId="0" fontId="2" fillId="0" borderId="5" xfId="0" applyFont="1" applyBorder="1" applyProtection="1">
      <protection locked="0"/>
    </xf>
    <xf numFmtId="171" fontId="12" fillId="0" borderId="0" xfId="1" applyNumberFormat="1" applyFont="1" applyProtection="1">
      <protection locked="0"/>
    </xf>
    <xf numFmtId="168" fontId="3" fillId="0" borderId="5" xfId="1" applyNumberFormat="1" applyFont="1" applyFill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2" fillId="0" borderId="8" xfId="0" applyNumberFormat="1" applyFont="1" applyBorder="1" applyAlignment="1" applyProtection="1">
      <alignment horizontal="right" vertical="top" wrapText="1"/>
      <protection locked="0"/>
    </xf>
    <xf numFmtId="168" fontId="2" fillId="0" borderId="0" xfId="0" applyNumberFormat="1" applyFont="1" applyAlignment="1" applyProtection="1">
      <alignment horizontal="right" vertical="top" wrapText="1"/>
      <protection locked="0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8" fontId="29" fillId="3" borderId="0" xfId="0" applyNumberFormat="1" applyFont="1" applyFill="1" applyAlignment="1">
      <alignment horizontal="right" wrapText="1"/>
    </xf>
    <xf numFmtId="43" fontId="1" fillId="0" borderId="0" xfId="1" applyFont="1" applyProtection="1">
      <protection locked="0"/>
    </xf>
    <xf numFmtId="170" fontId="1" fillId="0" borderId="0" xfId="0" applyNumberFormat="1" applyFont="1" applyProtection="1">
      <protection locked="0"/>
    </xf>
    <xf numFmtId="41" fontId="6" fillId="4" borderId="0" xfId="0" applyNumberFormat="1" applyFont="1" applyFill="1" applyAlignment="1" applyProtection="1">
      <alignment vertical="top" wrapText="1"/>
      <protection locked="0"/>
    </xf>
    <xf numFmtId="14" fontId="12" fillId="0" borderId="0" xfId="0" applyNumberFormat="1" applyFont="1" applyProtection="1">
      <protection locked="0"/>
    </xf>
    <xf numFmtId="41" fontId="3" fillId="0" borderId="0" xfId="1" applyNumberFormat="1" applyFont="1" applyFill="1" applyBorder="1" applyAlignment="1" applyProtection="1">
      <alignment wrapText="1"/>
      <protection locked="0"/>
    </xf>
    <xf numFmtId="41" fontId="3" fillId="0" borderId="0" xfId="1" applyNumberFormat="1" applyFont="1" applyFill="1" applyBorder="1" applyAlignment="1" applyProtection="1">
      <alignment horizontal="right" vertical="top" wrapText="1"/>
      <protection locked="0"/>
    </xf>
    <xf numFmtId="41" fontId="10" fillId="0" borderId="5" xfId="1" applyNumberFormat="1" applyFont="1" applyFill="1" applyBorder="1" applyProtection="1">
      <protection locked="0"/>
    </xf>
    <xf numFmtId="41" fontId="3" fillId="0" borderId="6" xfId="1" applyNumberFormat="1" applyFont="1" applyFill="1" applyBorder="1" applyAlignment="1" applyProtection="1">
      <alignment horizontal="right" vertical="top" wrapText="1"/>
      <protection locked="0"/>
    </xf>
    <xf numFmtId="41" fontId="3" fillId="0" borderId="9" xfId="0" applyNumberFormat="1" applyFont="1" applyBorder="1" applyProtection="1">
      <protection locked="0"/>
    </xf>
    <xf numFmtId="41" fontId="3" fillId="0" borderId="10" xfId="1" applyNumberFormat="1" applyFont="1" applyFill="1" applyBorder="1" applyAlignme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41" fontId="3" fillId="0" borderId="10" xfId="0" applyNumberFormat="1" applyFont="1" applyBorder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168" fontId="2" fillId="0" borderId="0" xfId="0" applyNumberFormat="1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41" fontId="2" fillId="0" borderId="19" xfId="1" applyNumberFormat="1" applyFont="1" applyFill="1" applyBorder="1" applyAlignment="1" applyProtection="1">
      <alignment horizontal="left" wrapText="1"/>
      <protection locked="0"/>
    </xf>
    <xf numFmtId="41" fontId="2" fillId="0" borderId="1" xfId="1" applyNumberFormat="1" applyFont="1" applyFill="1" applyBorder="1" applyAlignment="1" applyProtection="1">
      <alignment horizontal="left" wrapText="1"/>
      <protection locked="0"/>
    </xf>
    <xf numFmtId="41" fontId="2" fillId="0" borderId="20" xfId="1" applyNumberFormat="1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Fill="1" applyBorder="1" applyAlignment="1" applyProtection="1">
      <alignment horizontal="left" vertical="top" wrapText="1"/>
      <protection locked="0"/>
    </xf>
    <xf numFmtId="0" fontId="2" fillId="0" borderId="26" xfId="1" applyNumberFormat="1" applyFont="1" applyFill="1" applyBorder="1" applyAlignment="1" applyProtection="1">
      <alignment horizontal="left" vertical="top" wrapText="1"/>
      <protection locked="0"/>
    </xf>
    <xf numFmtId="0" fontId="2" fillId="0" borderId="28" xfId="1" applyNumberFormat="1" applyFont="1" applyFill="1" applyBorder="1" applyAlignment="1" applyProtection="1">
      <alignment horizontal="left" vertical="top" wrapText="1"/>
      <protection locked="0"/>
    </xf>
    <xf numFmtId="0" fontId="2" fillId="0" borderId="22" xfId="1" applyNumberFormat="1" applyFont="1" applyFill="1" applyBorder="1" applyAlignment="1" applyProtection="1">
      <alignment horizontal="left" vertical="top" wrapText="1"/>
      <protection locked="0"/>
    </xf>
    <xf numFmtId="0" fontId="2" fillId="0" borderId="0" xfId="1" applyNumberFormat="1" applyFont="1" applyFill="1" applyBorder="1" applyAlignment="1" applyProtection="1">
      <alignment horizontal="left" vertical="top" wrapText="1"/>
      <protection locked="0"/>
    </xf>
    <xf numFmtId="0" fontId="2" fillId="0" borderId="25" xfId="1" applyNumberFormat="1" applyFont="1" applyFill="1" applyBorder="1" applyAlignment="1" applyProtection="1">
      <alignment horizontal="left" vertical="top" wrapText="1"/>
      <protection locked="0"/>
    </xf>
    <xf numFmtId="0" fontId="2" fillId="0" borderId="23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24" xfId="1" applyNumberFormat="1" applyFont="1" applyFill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2" fillId="0" borderId="1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left" vertical="top"/>
    </xf>
    <xf numFmtId="0" fontId="30" fillId="0" borderId="26" xfId="0" applyFont="1" applyBorder="1" applyAlignment="1">
      <alignment horizontal="left" vertical="top"/>
    </xf>
    <xf numFmtId="0" fontId="30" fillId="0" borderId="28" xfId="0" applyFont="1" applyBorder="1" applyAlignment="1">
      <alignment horizontal="left" vertical="top"/>
    </xf>
    <xf numFmtId="0" fontId="30" fillId="0" borderId="22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25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top"/>
    </xf>
    <xf numFmtId="0" fontId="30" fillId="0" borderId="24" xfId="0" applyFont="1" applyBorder="1" applyAlignment="1">
      <alignment horizontal="left" vertical="top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	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	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9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1895476</xdr:colOff>
      <xdr:row>5</xdr:row>
      <xdr:rowOff>180976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51</xdr:row>
      <xdr:rowOff>190500</xdr:rowOff>
    </xdr:from>
    <xdr:to>
      <xdr:col>5</xdr:col>
      <xdr:colOff>104775</xdr:colOff>
      <xdr:row>51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51</xdr:row>
      <xdr:rowOff>190500</xdr:rowOff>
    </xdr:from>
    <xdr:to>
      <xdr:col>11</xdr:col>
      <xdr:colOff>104775</xdr:colOff>
      <xdr:row>51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51</xdr:row>
      <xdr:rowOff>190500</xdr:rowOff>
    </xdr:from>
    <xdr:to>
      <xdr:col>9</xdr:col>
      <xdr:colOff>104775</xdr:colOff>
      <xdr:row>51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71</xdr:row>
      <xdr:rowOff>190500</xdr:rowOff>
    </xdr:from>
    <xdr:to>
      <xdr:col>5</xdr:col>
      <xdr:colOff>104775</xdr:colOff>
      <xdr:row>71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71</xdr:row>
      <xdr:rowOff>190500</xdr:rowOff>
    </xdr:from>
    <xdr:to>
      <xdr:col>11</xdr:col>
      <xdr:colOff>104775</xdr:colOff>
      <xdr:row>71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71</xdr:row>
      <xdr:rowOff>190500</xdr:rowOff>
    </xdr:from>
    <xdr:to>
      <xdr:col>9</xdr:col>
      <xdr:colOff>104775</xdr:colOff>
      <xdr:row>71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3</xdr:row>
      <xdr:rowOff>0</xdr:rowOff>
    </xdr:from>
    <xdr:to>
      <xdr:col>4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285750</xdr:colOff>
      <xdr:row>4</xdr:row>
      <xdr:rowOff>0</xdr:rowOff>
    </xdr:from>
    <xdr:to>
      <xdr:col>4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29</xdr:col>
      <xdr:colOff>285750</xdr:colOff>
      <xdr:row>4</xdr:row>
      <xdr:rowOff>0</xdr:rowOff>
    </xdr:from>
    <xdr:to>
      <xdr:col>29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4</xdr:row>
      <xdr:rowOff>0</xdr:rowOff>
    </xdr:from>
    <xdr:to>
      <xdr:col>4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29</xdr:col>
      <xdr:colOff>285750</xdr:colOff>
      <xdr:row>4</xdr:row>
      <xdr:rowOff>0</xdr:rowOff>
    </xdr:from>
    <xdr:to>
      <xdr:col>29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4</xdr:row>
      <xdr:rowOff>0</xdr:rowOff>
    </xdr:from>
    <xdr:to>
      <xdr:col>4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auld, Nicola" id="{2A63CBDB-5D69-4C76-8C4D-F06FEC0FBC0B}" userId="S::nicola.gauld@scotframe.co.uk::4c65acd9-94f7-44f7-8ac8-4e664991a9e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26-01-03T16:25:12.77" personId="{2A63CBDB-5D69-4C76-8C4D-F06FEC0FBC0B}" id="{2C4681FE-CE82-4915-8964-07C5E52E46DA}">
    <text xml:space="preserve">£8122.72 bank+16,237+25,405.25+£250 fundraising
</text>
  </threadedComment>
  <threadedComment ref="B15" dT="2026-01-03T16:23:43.50" personId="{2A63CBDB-5D69-4C76-8C4D-F06FEC0FBC0B}" id="{9DE7731D-1363-42D2-8295-C0633A605ADC}">
    <text xml:space="preserve">£537.74 fundraising bank account +£540 bank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58"/>
  <sheetViews>
    <sheetView tabSelected="1" topLeftCell="A24" zoomScale="85" zoomScaleNormal="85" zoomScaleSheetLayoutView="80" workbookViewId="0">
      <selection activeCell="O34" sqref="O34"/>
    </sheetView>
  </sheetViews>
  <sheetFormatPr defaultColWidth="9.1796875" defaultRowHeight="12.5" x14ac:dyDescent="0.25"/>
  <cols>
    <col min="1" max="1" width="35.26953125" style="1" customWidth="1"/>
    <col min="2" max="2" width="16.1796875" style="30" customWidth="1"/>
    <col min="3" max="3" width="1.7265625" style="1" customWidth="1"/>
    <col min="4" max="4" width="16.26953125" style="1" customWidth="1"/>
    <col min="5" max="5" width="1.54296875" style="1" customWidth="1"/>
    <col min="6" max="6" width="13.81640625" style="1" customWidth="1"/>
    <col min="7" max="7" width="3.54296875" style="1" customWidth="1"/>
    <col min="8" max="8" width="15.453125" style="1" customWidth="1"/>
    <col min="9" max="9" width="1.54296875" style="1" customWidth="1"/>
    <col min="10" max="10" width="16" style="1" customWidth="1"/>
    <col min="11" max="11" width="1.54296875" style="1" customWidth="1"/>
    <col min="12" max="12" width="16.81640625" style="1" customWidth="1"/>
    <col min="13" max="13" width="9.1796875" style="1"/>
    <col min="14" max="14" width="26.1796875" style="1" customWidth="1"/>
    <col min="15" max="15" width="12.26953125" style="1" bestFit="1" customWidth="1"/>
    <col min="16" max="16384" width="9.1796875" style="1"/>
  </cols>
  <sheetData>
    <row r="1" spans="1:14" ht="18" customHeight="1" x14ac:dyDescent="0.25">
      <c r="A1" s="278"/>
      <c r="B1" s="282" t="s">
        <v>71</v>
      </c>
      <c r="C1" s="282"/>
      <c r="D1" s="282"/>
      <c r="E1" s="282"/>
      <c r="F1" s="282"/>
      <c r="G1" s="282"/>
      <c r="H1" s="282"/>
      <c r="I1" s="282"/>
      <c r="J1" s="282"/>
      <c r="L1" s="172" t="s">
        <v>73</v>
      </c>
      <c r="M1" s="171"/>
    </row>
    <row r="2" spans="1:14" ht="30.75" customHeight="1" x14ac:dyDescent="0.25">
      <c r="A2" s="278"/>
      <c r="B2" s="283" t="s">
        <v>129</v>
      </c>
      <c r="C2" s="283"/>
      <c r="D2" s="283"/>
      <c r="E2" s="283"/>
      <c r="F2" s="283"/>
      <c r="G2" s="283"/>
      <c r="H2" s="283"/>
      <c r="I2" s="283"/>
      <c r="J2" s="283"/>
      <c r="L2" s="173" t="s">
        <v>130</v>
      </c>
      <c r="M2" s="69"/>
    </row>
    <row r="3" spans="1:14" ht="24" customHeight="1" x14ac:dyDescent="0.25">
      <c r="A3" s="278"/>
      <c r="B3" s="279" t="s">
        <v>13</v>
      </c>
      <c r="C3" s="280"/>
      <c r="D3" s="280"/>
      <c r="E3" s="280"/>
      <c r="F3" s="280"/>
      <c r="G3" s="280"/>
      <c r="H3" s="280"/>
      <c r="I3" s="280"/>
      <c r="J3" s="281"/>
      <c r="L3" s="170"/>
    </row>
    <row r="4" spans="1:14" ht="14.25" customHeight="1" x14ac:dyDescent="0.25">
      <c r="A4" s="278"/>
      <c r="B4" s="284" t="s">
        <v>19</v>
      </c>
      <c r="C4" s="286"/>
      <c r="D4" s="287" t="s">
        <v>124</v>
      </c>
      <c r="E4" s="288"/>
      <c r="F4" s="289"/>
      <c r="G4" s="290" t="s">
        <v>72</v>
      </c>
      <c r="H4" s="287" t="s">
        <v>125</v>
      </c>
      <c r="I4" s="288"/>
      <c r="J4" s="289"/>
      <c r="L4" s="170"/>
    </row>
    <row r="5" spans="1:14" ht="16.5" customHeight="1" x14ac:dyDescent="0.25">
      <c r="A5" s="278"/>
      <c r="B5" s="284"/>
      <c r="C5" s="286"/>
      <c r="D5" s="293"/>
      <c r="E5" s="293"/>
      <c r="F5" s="293"/>
      <c r="G5" s="290"/>
      <c r="H5" s="294"/>
      <c r="I5" s="294"/>
      <c r="J5" s="294"/>
      <c r="L5" s="170"/>
    </row>
    <row r="6" spans="1:14" ht="21" customHeight="1" x14ac:dyDescent="0.25">
      <c r="A6" s="278"/>
      <c r="B6" s="285"/>
      <c r="C6" s="286"/>
      <c r="D6" s="291"/>
      <c r="E6" s="291"/>
      <c r="F6" s="291"/>
      <c r="G6" s="290"/>
      <c r="H6" s="292"/>
      <c r="I6" s="292"/>
      <c r="J6" s="292"/>
      <c r="L6" s="170"/>
    </row>
    <row r="8" spans="1:14" ht="20" x14ac:dyDescent="0.4">
      <c r="A8" s="47" t="s">
        <v>123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4" ht="42" x14ac:dyDescent="0.3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4" ht="24" customHeight="1" x14ac:dyDescent="0.3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4" ht="20.149999999999999" customHeight="1" x14ac:dyDescent="0.3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4" ht="20.149999999999999" customHeight="1" x14ac:dyDescent="0.3">
      <c r="A12" s="85" t="s">
        <v>21</v>
      </c>
      <c r="B12" s="217">
        <f>8122.72+41642.25+250-1635.72</f>
        <v>48379.25</v>
      </c>
      <c r="C12" s="180"/>
      <c r="D12" s="179"/>
      <c r="E12" s="180"/>
      <c r="F12" s="179"/>
      <c r="G12" s="180"/>
      <c r="H12" s="179"/>
      <c r="I12" s="180"/>
      <c r="J12" s="181">
        <f>H12+D12+B12+F12</f>
        <v>48379.25</v>
      </c>
      <c r="K12" s="182"/>
      <c r="L12" s="179">
        <v>42737.539999999994</v>
      </c>
      <c r="N12" s="215"/>
    </row>
    <row r="13" spans="1:14" ht="20.149999999999999" customHeight="1" x14ac:dyDescent="0.3">
      <c r="A13" s="85" t="s">
        <v>22</v>
      </c>
      <c r="B13" s="179"/>
      <c r="C13" s="180"/>
      <c r="D13" s="179"/>
      <c r="E13" s="180"/>
      <c r="F13" s="179"/>
      <c r="G13" s="180"/>
      <c r="H13" s="179"/>
      <c r="I13" s="180"/>
      <c r="J13" s="181">
        <f t="shared" ref="J13:J21" si="0">H13+D13+B13+F13</f>
        <v>0</v>
      </c>
      <c r="K13" s="182"/>
      <c r="L13" s="179">
        <v>0</v>
      </c>
    </row>
    <row r="14" spans="1:14" ht="20.149999999999999" customHeight="1" x14ac:dyDescent="0.3">
      <c r="A14" s="85" t="s">
        <v>23</v>
      </c>
      <c r="B14" s="217"/>
      <c r="C14" s="180"/>
      <c r="D14" s="217">
        <f>14261.36+1635.72</f>
        <v>15897.08</v>
      </c>
      <c r="E14" s="180"/>
      <c r="F14" s="179"/>
      <c r="G14" s="180"/>
      <c r="H14" s="179"/>
      <c r="I14" s="180"/>
      <c r="J14" s="181">
        <f>H14+D14+B14+F14</f>
        <v>15897.08</v>
      </c>
      <c r="K14" s="182"/>
      <c r="L14" s="179">
        <v>21008.9</v>
      </c>
    </row>
    <row r="15" spans="1:14" ht="40.5" customHeight="1" x14ac:dyDescent="0.3">
      <c r="A15" s="85" t="s">
        <v>24</v>
      </c>
      <c r="B15" s="217">
        <f>537.74+540</f>
        <v>1077.74</v>
      </c>
      <c r="C15" s="180"/>
      <c r="D15" s="179"/>
      <c r="E15" s="180"/>
      <c r="F15" s="179"/>
      <c r="G15" s="180"/>
      <c r="H15" s="179"/>
      <c r="I15" s="180"/>
      <c r="J15" s="181">
        <f t="shared" si="0"/>
        <v>1077.74</v>
      </c>
      <c r="K15" s="182"/>
      <c r="L15" s="179">
        <v>896.2</v>
      </c>
      <c r="N15" s="215"/>
    </row>
    <row r="16" spans="1:14" ht="20.149999999999999" customHeight="1" x14ac:dyDescent="0.3">
      <c r="A16" s="85" t="s">
        <v>25</v>
      </c>
      <c r="B16" s="217"/>
      <c r="C16" s="180"/>
      <c r="D16" s="179"/>
      <c r="E16" s="180"/>
      <c r="F16" s="179"/>
      <c r="G16" s="180"/>
      <c r="H16" s="179"/>
      <c r="I16" s="180"/>
      <c r="J16" s="181">
        <f t="shared" si="0"/>
        <v>0</v>
      </c>
      <c r="K16" s="182"/>
      <c r="L16" s="179">
        <v>0</v>
      </c>
    </row>
    <row r="17" spans="1:18" ht="28" x14ac:dyDescent="0.3">
      <c r="A17" s="85" t="s">
        <v>26</v>
      </c>
      <c r="B17" s="179"/>
      <c r="C17" s="180"/>
      <c r="D17" s="179"/>
      <c r="E17" s="180"/>
      <c r="F17" s="179"/>
      <c r="G17" s="180"/>
      <c r="H17" s="179"/>
      <c r="I17" s="180"/>
      <c r="J17" s="181">
        <f t="shared" si="0"/>
        <v>0</v>
      </c>
      <c r="K17" s="182"/>
      <c r="L17" s="179">
        <v>0</v>
      </c>
      <c r="O17" s="54"/>
    </row>
    <row r="18" spans="1:18" ht="20.149999999999999" customHeight="1" x14ac:dyDescent="0.3">
      <c r="A18" s="85" t="s">
        <v>68</v>
      </c>
      <c r="B18" s="179"/>
      <c r="C18" s="180"/>
      <c r="D18" s="179"/>
      <c r="E18" s="180"/>
      <c r="F18" s="179"/>
      <c r="G18" s="180"/>
      <c r="H18" s="179"/>
      <c r="I18" s="180"/>
      <c r="J18" s="181">
        <f t="shared" si="0"/>
        <v>0</v>
      </c>
      <c r="K18" s="182"/>
      <c r="L18" s="179">
        <v>0</v>
      </c>
    </row>
    <row r="19" spans="1:18" ht="28" x14ac:dyDescent="0.3">
      <c r="A19" s="85" t="s">
        <v>69</v>
      </c>
      <c r="B19" s="217">
        <f>83786.22-B12-D14-B15+787.74</f>
        <v>19219.89</v>
      </c>
      <c r="C19" s="180"/>
      <c r="D19" s="179"/>
      <c r="E19" s="180"/>
      <c r="F19" s="179"/>
      <c r="G19" s="180"/>
      <c r="H19" s="179"/>
      <c r="I19" s="180"/>
      <c r="J19" s="181">
        <f>H19+D19+B19+F19</f>
        <v>19219.89</v>
      </c>
      <c r="K19" s="182"/>
      <c r="L19" s="179">
        <v>19892.470000000008</v>
      </c>
      <c r="N19" s="218"/>
    </row>
    <row r="20" spans="1:18" ht="20.149999999999999" customHeight="1" x14ac:dyDescent="0.3">
      <c r="A20" s="85"/>
      <c r="B20" s="179"/>
      <c r="C20" s="180"/>
      <c r="D20" s="179"/>
      <c r="E20" s="180"/>
      <c r="F20" s="179"/>
      <c r="G20" s="180"/>
      <c r="H20" s="179"/>
      <c r="I20" s="180"/>
      <c r="J20" s="181">
        <f>H20+D20+B20+F20</f>
        <v>0</v>
      </c>
      <c r="K20" s="182"/>
      <c r="L20" s="179">
        <v>0</v>
      </c>
      <c r="N20" s="267" t="s">
        <v>198</v>
      </c>
      <c r="O20" s="215" t="s">
        <v>160</v>
      </c>
    </row>
    <row r="21" spans="1:18" ht="17.25" customHeight="1" thickBot="1" x14ac:dyDescent="0.4">
      <c r="A21" s="9" t="s">
        <v>86</v>
      </c>
      <c r="B21" s="183">
        <f>SUM(B12:B20)</f>
        <v>68676.88</v>
      </c>
      <c r="C21" s="184"/>
      <c r="D21" s="183">
        <f>SUM(D12:D20)</f>
        <v>15897.08</v>
      </c>
      <c r="E21" s="180"/>
      <c r="F21" s="183">
        <f>SUM(F12:F20)</f>
        <v>0</v>
      </c>
      <c r="G21" s="180"/>
      <c r="H21" s="183">
        <f>SUM(H12:H20)</f>
        <v>0</v>
      </c>
      <c r="I21" s="180"/>
      <c r="J21" s="185">
        <f t="shared" si="0"/>
        <v>84573.96</v>
      </c>
      <c r="K21" s="182"/>
      <c r="L21" s="183">
        <f>SUM(L12:L20)</f>
        <v>84535.11</v>
      </c>
      <c r="N21" s="54">
        <v>83786.22</v>
      </c>
      <c r="O21" s="1">
        <v>787.74</v>
      </c>
      <c r="P21" s="54">
        <f>N21+O21-J21</f>
        <v>0</v>
      </c>
    </row>
    <row r="22" spans="1:18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  <c r="N22" s="226"/>
      <c r="O22" s="54"/>
      <c r="R22" s="54"/>
    </row>
    <row r="23" spans="1:18" ht="28" x14ac:dyDescent="0.3">
      <c r="A23" s="67" t="s">
        <v>66</v>
      </c>
      <c r="B23" s="186"/>
      <c r="C23" s="8"/>
      <c r="D23" s="8"/>
      <c r="E23" s="8"/>
      <c r="F23" s="8"/>
      <c r="G23" s="8"/>
      <c r="H23" s="8"/>
      <c r="I23" s="8"/>
      <c r="J23" s="8"/>
      <c r="K23" s="8"/>
    </row>
    <row r="24" spans="1:18" ht="20.149999999999999" customHeight="1" x14ac:dyDescent="0.3">
      <c r="A24" s="85" t="s">
        <v>27</v>
      </c>
      <c r="B24" s="179"/>
      <c r="C24" s="180"/>
      <c r="D24" s="179"/>
      <c r="E24" s="180"/>
      <c r="F24" s="179"/>
      <c r="G24" s="180"/>
      <c r="H24" s="179"/>
      <c r="I24" s="180"/>
      <c r="J24" s="181">
        <f>H24+D24+B24+F24</f>
        <v>0</v>
      </c>
      <c r="K24" s="182"/>
      <c r="L24" s="179"/>
    </row>
    <row r="25" spans="1:18" ht="20.149999999999999" customHeight="1" x14ac:dyDescent="0.3">
      <c r="A25" s="85" t="s">
        <v>28</v>
      </c>
      <c r="B25" s="179"/>
      <c r="C25" s="180"/>
      <c r="D25" s="179"/>
      <c r="E25" s="180"/>
      <c r="F25" s="179"/>
      <c r="G25" s="180"/>
      <c r="H25" s="179"/>
      <c r="I25" s="180"/>
      <c r="J25" s="181">
        <f>H25+D25+B25+F25</f>
        <v>0</v>
      </c>
      <c r="K25" s="182"/>
      <c r="L25" s="179"/>
    </row>
    <row r="26" spans="1:18" ht="17.25" customHeight="1" thickBot="1" x14ac:dyDescent="0.4">
      <c r="A26" s="9" t="s">
        <v>87</v>
      </c>
      <c r="B26" s="183">
        <f>SUM(B24:B25)</f>
        <v>0</v>
      </c>
      <c r="C26" s="184"/>
      <c r="D26" s="183">
        <f>SUM(D24:D25)</f>
        <v>0</v>
      </c>
      <c r="E26" s="180"/>
      <c r="F26" s="183">
        <f>SUM(F24:F25)</f>
        <v>0</v>
      </c>
      <c r="G26" s="180"/>
      <c r="H26" s="183">
        <f>SUM(H24:H25)</f>
        <v>0</v>
      </c>
      <c r="I26" s="180"/>
      <c r="J26" s="183">
        <f>SUM(J24:J25)</f>
        <v>0</v>
      </c>
      <c r="K26" s="182"/>
      <c r="L26" s="183">
        <f>SUM(L24:L25)</f>
        <v>0</v>
      </c>
    </row>
    <row r="27" spans="1:18" ht="8.25" customHeight="1" thickTop="1" x14ac:dyDescent="0.3">
      <c r="A27" s="25"/>
      <c r="B27" s="221"/>
      <c r="C27" s="222"/>
      <c r="D27" s="221"/>
      <c r="E27" s="222"/>
      <c r="F27" s="221"/>
      <c r="G27" s="222"/>
      <c r="H27" s="221"/>
      <c r="I27" s="223"/>
      <c r="J27" s="224" t="str">
        <f>IF(B26+D26+F26+H26-J26=0," ","error")</f>
        <v xml:space="preserve"> </v>
      </c>
      <c r="K27" s="182"/>
      <c r="L27" s="165"/>
    </row>
    <row r="28" spans="1:18" ht="20.149999999999999" customHeight="1" thickBot="1" x14ac:dyDescent="0.4">
      <c r="A28" s="9" t="s">
        <v>11</v>
      </c>
      <c r="B28" s="188">
        <f>B26+B21</f>
        <v>68676.88</v>
      </c>
      <c r="C28" s="233"/>
      <c r="D28" s="188">
        <f>D26+D21</f>
        <v>15897.08</v>
      </c>
      <c r="E28" s="223"/>
      <c r="F28" s="225">
        <f>F26+F21</f>
        <v>0</v>
      </c>
      <c r="G28" s="223"/>
      <c r="H28" s="225">
        <f>H26+H21</f>
        <v>0</v>
      </c>
      <c r="I28" s="223"/>
      <c r="J28" s="188">
        <f>J26+J21</f>
        <v>84573.96</v>
      </c>
      <c r="K28" s="182"/>
      <c r="L28" s="188">
        <f>L26+L21</f>
        <v>84535.11</v>
      </c>
    </row>
    <row r="29" spans="1:18" ht="16.5" customHeight="1" thickTop="1" x14ac:dyDescent="0.25">
      <c r="B29" s="189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8" ht="18" customHeight="1" x14ac:dyDescent="0.25">
      <c r="A30" s="27" t="s">
        <v>8</v>
      </c>
      <c r="B30" s="231"/>
      <c r="C30" s="190"/>
      <c r="D30" s="190"/>
      <c r="E30" s="190"/>
      <c r="F30" s="190"/>
      <c r="G30" s="190"/>
      <c r="H30" s="190"/>
      <c r="I30" s="190"/>
      <c r="J30" s="190"/>
      <c r="K30" s="190"/>
      <c r="L30" s="190"/>
    </row>
    <row r="31" spans="1:18" ht="20.149999999999999" customHeight="1" x14ac:dyDescent="0.3">
      <c r="A31" s="86" t="s">
        <v>29</v>
      </c>
      <c r="B31" s="217">
        <v>0</v>
      </c>
      <c r="C31" s="187"/>
      <c r="D31" s="179"/>
      <c r="E31" s="180"/>
      <c r="F31" s="179"/>
      <c r="G31" s="180"/>
      <c r="H31" s="179"/>
      <c r="I31" s="180"/>
      <c r="J31" s="181">
        <f>H31+D31+B31+F31</f>
        <v>0</v>
      </c>
      <c r="K31" s="165"/>
      <c r="L31" s="179"/>
    </row>
    <row r="32" spans="1:18" ht="20.149999999999999" customHeight="1" x14ac:dyDescent="0.3">
      <c r="A32" s="86" t="s">
        <v>114</v>
      </c>
      <c r="B32" s="217"/>
      <c r="C32" s="187"/>
      <c r="D32" s="179"/>
      <c r="E32" s="180"/>
      <c r="F32" s="179"/>
      <c r="G32" s="180"/>
      <c r="H32" s="179"/>
      <c r="I32" s="180"/>
      <c r="J32" s="181">
        <f t="shared" ref="J32:J41" si="1">H32+D32+B32+F32</f>
        <v>0</v>
      </c>
      <c r="K32" s="165"/>
      <c r="L32" s="179">
        <v>0</v>
      </c>
    </row>
    <row r="33" spans="1:17" ht="20.149999999999999" customHeight="1" x14ac:dyDescent="0.3">
      <c r="A33" s="86" t="s">
        <v>30</v>
      </c>
      <c r="B33" s="217"/>
      <c r="C33" s="187"/>
      <c r="D33" s="179"/>
      <c r="E33" s="180"/>
      <c r="F33" s="179"/>
      <c r="G33" s="180"/>
      <c r="H33" s="179"/>
      <c r="I33" s="180"/>
      <c r="J33" s="181">
        <f t="shared" si="1"/>
        <v>0</v>
      </c>
      <c r="K33" s="165"/>
      <c r="L33" s="179">
        <v>0</v>
      </c>
    </row>
    <row r="34" spans="1:17" ht="28" x14ac:dyDescent="0.3">
      <c r="A34" s="86" t="s">
        <v>31</v>
      </c>
      <c r="B34" s="217">
        <f>78468.5-B35-B37-D34+2539.74</f>
        <v>55661.32</v>
      </c>
      <c r="C34" s="270"/>
      <c r="D34" s="217">
        <v>24566.92</v>
      </c>
      <c r="E34" s="180"/>
      <c r="F34" s="179"/>
      <c r="G34" s="180"/>
      <c r="H34" s="179"/>
      <c r="I34" s="180"/>
      <c r="J34" s="181">
        <f>H34+D34+B34+F34</f>
        <v>80228.239999999991</v>
      </c>
      <c r="K34" s="165"/>
      <c r="L34" s="179">
        <f>79377.58+960</f>
        <v>80337.58</v>
      </c>
      <c r="N34" s="54">
        <f>'Additional notes (1)  '!C84+'Additional notes (1)  '!E84</f>
        <v>80228.239999999991</v>
      </c>
      <c r="O34" s="226">
        <f>N34-J34</f>
        <v>0</v>
      </c>
    </row>
    <row r="35" spans="1:17" ht="20.149999999999999" customHeight="1" x14ac:dyDescent="0.3">
      <c r="A35" s="86" t="s">
        <v>32</v>
      </c>
      <c r="B35" s="217">
        <v>0</v>
      </c>
      <c r="C35" s="187"/>
      <c r="D35" s="179"/>
      <c r="E35" s="180"/>
      <c r="F35" s="179"/>
      <c r="G35" s="180"/>
      <c r="H35" s="179"/>
      <c r="I35" s="180"/>
      <c r="J35" s="181">
        <f t="shared" si="1"/>
        <v>0</v>
      </c>
      <c r="K35" s="165"/>
      <c r="L35" s="179">
        <v>0</v>
      </c>
      <c r="N35" s="54"/>
      <c r="O35" s="204"/>
    </row>
    <row r="36" spans="1:17" ht="20.149999999999999" customHeight="1" x14ac:dyDescent="0.3">
      <c r="A36" s="86" t="s">
        <v>33</v>
      </c>
      <c r="B36" s="217"/>
      <c r="C36" s="187"/>
      <c r="D36" s="179"/>
      <c r="E36" s="180"/>
      <c r="F36" s="179"/>
      <c r="G36" s="180"/>
      <c r="H36" s="179"/>
      <c r="I36" s="180"/>
      <c r="J36" s="181">
        <f t="shared" si="1"/>
        <v>0</v>
      </c>
      <c r="K36" s="165"/>
      <c r="L36" s="179">
        <v>0</v>
      </c>
    </row>
    <row r="37" spans="1:17" ht="20.149999999999999" customHeight="1" x14ac:dyDescent="0.3">
      <c r="A37" s="87" t="s">
        <v>34</v>
      </c>
      <c r="B37" s="217">
        <v>780</v>
      </c>
      <c r="C37" s="187"/>
      <c r="D37" s="179"/>
      <c r="E37" s="180"/>
      <c r="F37" s="179"/>
      <c r="G37" s="180"/>
      <c r="H37" s="179"/>
      <c r="I37" s="180"/>
      <c r="J37" s="181">
        <f t="shared" si="1"/>
        <v>780</v>
      </c>
      <c r="K37" s="165"/>
      <c r="L37" s="179">
        <v>0</v>
      </c>
      <c r="N37" s="215"/>
      <c r="O37" s="54"/>
    </row>
    <row r="38" spans="1:17" ht="20.149999999999999" customHeight="1" x14ac:dyDescent="0.3">
      <c r="A38" s="87" t="s">
        <v>35</v>
      </c>
      <c r="B38" s="179"/>
      <c r="C38" s="187"/>
      <c r="D38" s="179"/>
      <c r="E38" s="180"/>
      <c r="F38" s="179"/>
      <c r="G38" s="180"/>
      <c r="H38" s="179"/>
      <c r="I38" s="180"/>
      <c r="J38" s="181">
        <f t="shared" si="1"/>
        <v>0</v>
      </c>
      <c r="K38" s="165"/>
      <c r="L38" s="179">
        <v>0</v>
      </c>
    </row>
    <row r="39" spans="1:17" ht="20.149999999999999" customHeight="1" x14ac:dyDescent="0.3">
      <c r="A39" s="87" t="s">
        <v>36</v>
      </c>
      <c r="B39" s="179"/>
      <c r="C39" s="187"/>
      <c r="D39" s="179"/>
      <c r="E39" s="180"/>
      <c r="F39" s="179"/>
      <c r="G39" s="180"/>
      <c r="H39" s="179"/>
      <c r="I39" s="180"/>
      <c r="J39" s="181">
        <f t="shared" si="1"/>
        <v>0</v>
      </c>
      <c r="K39" s="165"/>
      <c r="L39" s="179">
        <v>0</v>
      </c>
    </row>
    <row r="40" spans="1:17" ht="20.149999999999999" customHeight="1" x14ac:dyDescent="0.3">
      <c r="A40" s="87" t="s">
        <v>122</v>
      </c>
      <c r="B40" s="179"/>
      <c r="C40" s="187"/>
      <c r="D40" s="179"/>
      <c r="E40" s="180"/>
      <c r="F40" s="179"/>
      <c r="G40" s="180"/>
      <c r="H40" s="179"/>
      <c r="I40" s="180"/>
      <c r="J40" s="181">
        <f t="shared" si="1"/>
        <v>0</v>
      </c>
      <c r="K40" s="165"/>
      <c r="L40" s="179">
        <v>0</v>
      </c>
      <c r="N40" s="226"/>
    </row>
    <row r="41" spans="1:17" ht="20.149999999999999" customHeight="1" thickBot="1" x14ac:dyDescent="0.35">
      <c r="A41" s="86"/>
      <c r="B41" s="191"/>
      <c r="C41" s="187"/>
      <c r="D41" s="191"/>
      <c r="E41" s="180"/>
      <c r="F41" s="191"/>
      <c r="G41" s="180"/>
      <c r="H41" s="191"/>
      <c r="I41" s="180"/>
      <c r="J41" s="181">
        <f t="shared" si="1"/>
        <v>0</v>
      </c>
      <c r="K41" s="165"/>
      <c r="L41" s="191">
        <v>0</v>
      </c>
      <c r="N41" s="267" t="s">
        <v>198</v>
      </c>
      <c r="O41" s="215" t="s">
        <v>160</v>
      </c>
    </row>
    <row r="42" spans="1:17" ht="20.149999999999999" customHeight="1" thickTop="1" thickBot="1" x14ac:dyDescent="0.35">
      <c r="A42" s="13" t="s">
        <v>88</v>
      </c>
      <c r="B42" s="183">
        <f>SUM(B31:B41)</f>
        <v>56441.32</v>
      </c>
      <c r="C42" s="192"/>
      <c r="D42" s="183">
        <f>SUM(D31:D41)</f>
        <v>24566.92</v>
      </c>
      <c r="E42" s="220"/>
      <c r="F42" s="219">
        <f>SUM(F31:F41)</f>
        <v>0</v>
      </c>
      <c r="G42" s="220"/>
      <c r="H42" s="219">
        <f>SUM(H31:H41)</f>
        <v>0</v>
      </c>
      <c r="I42" s="220"/>
      <c r="J42" s="183">
        <f>SUM(J31:J41)</f>
        <v>81008.239999999991</v>
      </c>
      <c r="K42" s="165"/>
      <c r="L42" s="183">
        <f>SUM(L31:L41)</f>
        <v>80337.58</v>
      </c>
      <c r="N42" s="54">
        <v>78468.5</v>
      </c>
      <c r="O42" s="1">
        <v>2539.7399999999998</v>
      </c>
      <c r="P42" s="54">
        <f>N42+O42-J42</f>
        <v>0</v>
      </c>
      <c r="Q42" s="215"/>
    </row>
    <row r="43" spans="1:17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7" ht="28" x14ac:dyDescent="0.3">
      <c r="A44" s="67" t="s">
        <v>67</v>
      </c>
      <c r="B44" s="186"/>
      <c r="C44" s="8"/>
      <c r="D44" s="8"/>
      <c r="E44" s="8"/>
      <c r="F44" s="8"/>
      <c r="G44" s="8"/>
      <c r="H44" s="8"/>
      <c r="I44" s="8"/>
      <c r="J44" s="8"/>
      <c r="K44" s="8"/>
    </row>
    <row r="45" spans="1:17" ht="20.149999999999999" customHeight="1" x14ac:dyDescent="0.3">
      <c r="A45" s="86" t="s">
        <v>37</v>
      </c>
      <c r="B45" s="179"/>
      <c r="C45" s="187"/>
      <c r="D45" s="179"/>
      <c r="E45" s="180"/>
      <c r="F45" s="179"/>
      <c r="G45" s="180"/>
      <c r="H45" s="179"/>
      <c r="I45" s="180"/>
      <c r="J45" s="236">
        <f>H45+D45+F45+B45</f>
        <v>0</v>
      </c>
      <c r="K45" s="165"/>
      <c r="L45" s="179"/>
      <c r="O45" s="54"/>
    </row>
    <row r="46" spans="1:17" ht="20.149999999999999" customHeight="1" thickBot="1" x14ac:dyDescent="0.35">
      <c r="A46" s="86" t="s">
        <v>38</v>
      </c>
      <c r="B46" s="191"/>
      <c r="C46" s="187"/>
      <c r="D46" s="191"/>
      <c r="E46" s="180"/>
      <c r="F46" s="191"/>
      <c r="G46" s="180"/>
      <c r="H46" s="191"/>
      <c r="I46" s="180"/>
      <c r="J46" s="236">
        <f>H46+D46+F46+B46</f>
        <v>0</v>
      </c>
      <c r="K46" s="165"/>
      <c r="L46" s="191"/>
    </row>
    <row r="47" spans="1:17" ht="20.149999999999999" customHeight="1" thickTop="1" thickBot="1" x14ac:dyDescent="0.35">
      <c r="A47" s="13" t="s">
        <v>89</v>
      </c>
      <c r="B47" s="183">
        <f>SUM(B45:B46)</f>
        <v>0</v>
      </c>
      <c r="C47" s="192"/>
      <c r="D47" s="183">
        <f>SUM(D45:D46)</f>
        <v>0</v>
      </c>
      <c r="E47" s="180"/>
      <c r="F47" s="183">
        <f>SUM(F45:F46)</f>
        <v>0</v>
      </c>
      <c r="G47" s="180"/>
      <c r="H47" s="183">
        <f>SUM(H45:H46)</f>
        <v>0</v>
      </c>
      <c r="I47" s="180"/>
      <c r="J47" s="183">
        <f>SUM(J45:J46)</f>
        <v>0</v>
      </c>
      <c r="K47" s="165"/>
      <c r="L47" s="183">
        <f>SUM(L45:L46)</f>
        <v>0</v>
      </c>
      <c r="O47" s="54"/>
    </row>
    <row r="48" spans="1:17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35">
      <c r="A49" s="39" t="s">
        <v>12</v>
      </c>
      <c r="B49" s="193">
        <f>+B47+B42</f>
        <v>56441.32</v>
      </c>
      <c r="C49" s="182"/>
      <c r="D49" s="193">
        <f>+D47+D42</f>
        <v>24566.92</v>
      </c>
      <c r="E49" s="182"/>
      <c r="F49" s="193">
        <f>+F47+F42</f>
        <v>0</v>
      </c>
      <c r="G49" s="182"/>
      <c r="H49" s="193">
        <f>+H47+H42</f>
        <v>0</v>
      </c>
      <c r="I49" s="182"/>
      <c r="J49" s="193">
        <f>+J47+J42</f>
        <v>81008.239999999991</v>
      </c>
      <c r="K49" s="182"/>
      <c r="L49" s="193">
        <f>+L47+L42</f>
        <v>80337.58</v>
      </c>
    </row>
    <row r="50" spans="1:13" ht="13.5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35">
      <c r="A51" s="40" t="s">
        <v>105</v>
      </c>
      <c r="B51" s="141">
        <f>+B28-B49</f>
        <v>12235.560000000005</v>
      </c>
      <c r="C51" s="88"/>
      <c r="D51" s="141">
        <f>+D28-D49</f>
        <v>-8669.8399999999983</v>
      </c>
      <c r="E51" s="88"/>
      <c r="F51" s="141">
        <f>+F28-F49</f>
        <v>0</v>
      </c>
      <c r="G51" s="88"/>
      <c r="H51" s="141">
        <f>+H28-H49</f>
        <v>0</v>
      </c>
      <c r="I51" s="88"/>
      <c r="J51" s="235">
        <f>J28-J42</f>
        <v>3565.7200000000157</v>
      </c>
      <c r="K51" s="133"/>
      <c r="L51" s="141">
        <f>+L28-L49</f>
        <v>4197.5299999999988</v>
      </c>
      <c r="M51" s="89"/>
    </row>
    <row r="52" spans="1:13" ht="14.25" customHeight="1" thickBot="1" x14ac:dyDescent="0.35">
      <c r="A52" s="40"/>
      <c r="B52" s="201"/>
      <c r="C52" s="88"/>
      <c r="D52" s="201"/>
      <c r="E52" s="88"/>
      <c r="F52" s="201"/>
      <c r="G52" s="88"/>
      <c r="H52" s="201"/>
      <c r="I52" s="88"/>
      <c r="J52" s="201"/>
      <c r="K52" s="133"/>
      <c r="L52" s="201"/>
      <c r="M52" s="89"/>
    </row>
    <row r="53" spans="1:13" ht="19.5" customHeight="1" thickTop="1" thickBot="1" x14ac:dyDescent="0.35">
      <c r="A53" s="97" t="s">
        <v>120</v>
      </c>
      <c r="B53" s="144"/>
      <c r="C53" s="88"/>
      <c r="D53" s="144"/>
      <c r="E53" s="88"/>
      <c r="F53" s="144"/>
      <c r="G53" s="88"/>
      <c r="H53" s="144"/>
      <c r="I53" s="88"/>
      <c r="J53" s="140">
        <f>IF(H53+F53+D53+B53=0,0,"Transfer error")</f>
        <v>0</v>
      </c>
      <c r="K53" s="133"/>
      <c r="L53" s="144"/>
    </row>
    <row r="54" spans="1:13" ht="14.25" customHeight="1" thickTop="1" thickBot="1" x14ac:dyDescent="0.35">
      <c r="A54" s="11"/>
      <c r="B54" s="200"/>
      <c r="C54" s="88"/>
      <c r="D54" s="200"/>
      <c r="E54" s="88"/>
      <c r="F54" s="139"/>
      <c r="G54" s="88"/>
      <c r="H54" s="200"/>
      <c r="I54" s="88"/>
      <c r="J54" s="202"/>
      <c r="K54" s="133"/>
      <c r="L54" s="200"/>
    </row>
    <row r="55" spans="1:13" ht="29.25" customHeight="1" thickTop="1" thickBot="1" x14ac:dyDescent="0.35">
      <c r="A55" s="13" t="s">
        <v>42</v>
      </c>
      <c r="B55" s="138">
        <f>+B51+B53</f>
        <v>12235.560000000005</v>
      </c>
      <c r="C55" s="240"/>
      <c r="D55" s="138">
        <f>+D51+D53</f>
        <v>-8669.8399999999983</v>
      </c>
      <c r="E55" s="88"/>
      <c r="F55" s="138">
        <f>+F51+F53</f>
        <v>0</v>
      </c>
      <c r="G55" s="88"/>
      <c r="H55" s="138">
        <f>+H51+H53</f>
        <v>0</v>
      </c>
      <c r="I55" s="88"/>
      <c r="J55" s="138">
        <f>+J51+J53</f>
        <v>3565.7200000000157</v>
      </c>
      <c r="K55" s="133"/>
      <c r="L55" s="138">
        <f>+L51+L53</f>
        <v>4197.5299999999988</v>
      </c>
    </row>
    <row r="56" spans="1:13" ht="13" thickTop="1" x14ac:dyDescent="0.25">
      <c r="J56" s="55"/>
    </row>
    <row r="58" spans="1:13" x14ac:dyDescent="0.25">
      <c r="B58" s="234"/>
      <c r="D58" s="204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53"/>
  <sheetViews>
    <sheetView topLeftCell="B1" zoomScale="75" zoomScaleNormal="75" zoomScaleSheetLayoutView="80" workbookViewId="0">
      <pane ySplit="2" topLeftCell="A3" activePane="bottomLeft" state="frozen"/>
      <selection activeCell="B35" sqref="B35"/>
      <selection pane="bottomLeft" activeCell="H6" sqref="H6"/>
    </sheetView>
  </sheetViews>
  <sheetFormatPr defaultColWidth="9.1796875" defaultRowHeight="12.5" x14ac:dyDescent="0.25"/>
  <cols>
    <col min="1" max="1" width="28.81640625" style="1" customWidth="1"/>
    <col min="2" max="2" width="19" style="30" customWidth="1"/>
    <col min="3" max="3" width="3.81640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0" width="15.54296875" style="1" customWidth="1"/>
    <col min="11" max="11" width="1.54296875" style="1" customWidth="1"/>
    <col min="12" max="12" width="14.7265625" style="1" customWidth="1"/>
    <col min="13" max="13" width="1.54296875" style="1" customWidth="1"/>
    <col min="14" max="14" width="14.7265625" style="1" customWidth="1"/>
    <col min="15" max="15" width="1.54296875" style="1" customWidth="1"/>
    <col min="16" max="16" width="14.7265625" style="1" customWidth="1"/>
    <col min="17" max="17" width="11.54296875" style="1" bestFit="1" customWidth="1"/>
    <col min="18" max="18" width="7" style="1" bestFit="1" customWidth="1"/>
    <col min="19" max="20" width="9.1796875" style="1"/>
    <col min="21" max="21" width="24.7265625" style="1" customWidth="1"/>
    <col min="22" max="23" width="12.26953125" style="1" bestFit="1" customWidth="1"/>
    <col min="24" max="16384" width="9.1796875" style="1"/>
  </cols>
  <sheetData>
    <row r="1" spans="1:23" ht="27" customHeight="1" x14ac:dyDescent="0.4">
      <c r="B1" s="295" t="str">
        <f>'R&amp;P Accounts'!B2</f>
        <v>Aberdeen Amateur Athletic Club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N1" s="295" t="str">
        <f>'R&amp;P Accounts'!L2</f>
        <v>SC050149</v>
      </c>
      <c r="O1" s="295"/>
      <c r="P1" s="295"/>
    </row>
    <row r="2" spans="1:23" s="46" customFormat="1" ht="26.25" customHeight="1" x14ac:dyDescent="0.25">
      <c r="A2" s="80" t="s">
        <v>119</v>
      </c>
      <c r="B2" s="43"/>
      <c r="C2" s="42"/>
      <c r="D2" s="42"/>
      <c r="E2" s="42"/>
      <c r="F2" s="321"/>
      <c r="G2" s="321"/>
      <c r="H2" s="321"/>
      <c r="I2" s="44"/>
      <c r="J2" s="44"/>
      <c r="K2" s="44"/>
      <c r="L2" s="45"/>
      <c r="M2" s="44"/>
      <c r="N2" s="45"/>
      <c r="O2" s="44"/>
      <c r="P2" s="45"/>
    </row>
    <row r="3" spans="1:23" ht="40.5" customHeight="1" x14ac:dyDescent="0.3">
      <c r="A3" s="50" t="s">
        <v>6</v>
      </c>
      <c r="B3" s="298" t="s">
        <v>5</v>
      </c>
      <c r="C3" s="298"/>
      <c r="D3" s="298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23" x14ac:dyDescent="0.25">
      <c r="B4" s="299"/>
      <c r="C4" s="299"/>
      <c r="D4" s="299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23" ht="30" customHeight="1" x14ac:dyDescent="0.25">
      <c r="A5" s="316" t="s">
        <v>9</v>
      </c>
      <c r="B5" s="300" t="s">
        <v>40</v>
      </c>
      <c r="C5" s="300"/>
      <c r="D5" s="300"/>
      <c r="E5" s="23"/>
      <c r="F5" s="254">
        <v>54109.399999999994</v>
      </c>
      <c r="G5" s="255"/>
      <c r="H5" s="256">
        <v>23469.300000000003</v>
      </c>
      <c r="I5" s="255"/>
      <c r="J5" s="256">
        <v>0</v>
      </c>
      <c r="K5" s="255"/>
      <c r="L5" s="256">
        <v>0</v>
      </c>
      <c r="M5" s="255"/>
      <c r="N5" s="257">
        <f>F5+H5+J5+L5</f>
        <v>77578.7</v>
      </c>
      <c r="O5" s="255"/>
      <c r="P5" s="256">
        <v>73381.17</v>
      </c>
    </row>
    <row r="6" spans="1:23" ht="30" customHeight="1" x14ac:dyDescent="0.25">
      <c r="A6" s="317"/>
      <c r="B6" s="300" t="s">
        <v>41</v>
      </c>
      <c r="C6" s="300"/>
      <c r="D6" s="300"/>
      <c r="E6" s="23"/>
      <c r="F6" s="254">
        <f>'R&amp;P Accounts'!B55</f>
        <v>12235.560000000005</v>
      </c>
      <c r="G6" s="255"/>
      <c r="H6" s="254">
        <f>'R&amp;P Accounts'!D55</f>
        <v>-8669.8399999999983</v>
      </c>
      <c r="I6" s="255"/>
      <c r="J6" s="256"/>
      <c r="K6" s="255"/>
      <c r="L6" s="256"/>
      <c r="M6" s="255"/>
      <c r="N6" s="257">
        <f>F6+H6+J6+L6</f>
        <v>3565.7200000000066</v>
      </c>
      <c r="O6" s="255"/>
      <c r="P6" s="256">
        <v>4197.5299999999934</v>
      </c>
      <c r="Q6" s="215"/>
      <c r="U6" s="269">
        <v>45565</v>
      </c>
      <c r="V6" s="269">
        <v>45930</v>
      </c>
    </row>
    <row r="7" spans="1:23" ht="26.25" customHeight="1" x14ac:dyDescent="0.25">
      <c r="A7" s="317"/>
      <c r="B7" s="322"/>
      <c r="C7" s="323"/>
      <c r="D7" s="324"/>
      <c r="E7" s="23"/>
      <c r="F7" s="258"/>
      <c r="G7" s="255"/>
      <c r="H7" s="258"/>
      <c r="I7" s="255"/>
      <c r="J7" s="258"/>
      <c r="K7" s="255"/>
      <c r="L7" s="258"/>
      <c r="M7" s="255"/>
      <c r="N7" s="257">
        <f>F7+H7+J7+L7</f>
        <v>0</v>
      </c>
      <c r="O7" s="255"/>
      <c r="P7" s="258">
        <v>0</v>
      </c>
      <c r="U7" s="218">
        <f>63877.47</f>
        <v>63877.47</v>
      </c>
      <c r="V7" s="266">
        <v>69195.19</v>
      </c>
      <c r="W7" s="215" t="s">
        <v>159</v>
      </c>
    </row>
    <row r="8" spans="1:23" ht="26.25" customHeight="1" thickBot="1" x14ac:dyDescent="0.3">
      <c r="A8" s="317"/>
      <c r="B8" s="300"/>
      <c r="C8" s="300"/>
      <c r="D8" s="300"/>
      <c r="E8" s="23"/>
      <c r="F8" s="259"/>
      <c r="G8" s="255"/>
      <c r="H8" s="259"/>
      <c r="I8" s="255"/>
      <c r="J8" s="259"/>
      <c r="K8" s="255"/>
      <c r="L8" s="259"/>
      <c r="M8" s="255"/>
      <c r="N8" s="260">
        <f>F8+H8+J8+L8</f>
        <v>0</v>
      </c>
      <c r="O8" s="255"/>
      <c r="P8" s="259">
        <v>0</v>
      </c>
      <c r="U8" s="218">
        <v>13701.23</v>
      </c>
      <c r="V8" s="218">
        <v>11949.23</v>
      </c>
      <c r="W8" s="215" t="s">
        <v>160</v>
      </c>
    </row>
    <row r="9" spans="1:23" ht="30" customHeight="1" thickTop="1" thickBot="1" x14ac:dyDescent="0.3">
      <c r="B9" s="319" t="s">
        <v>39</v>
      </c>
      <c r="C9" s="319"/>
      <c r="D9" s="319"/>
      <c r="E9" s="41"/>
      <c r="F9" s="261">
        <f>SUM(F5:F8)</f>
        <v>66344.959999999992</v>
      </c>
      <c r="G9" s="262"/>
      <c r="H9" s="261">
        <f>SUM(H5:H8)</f>
        <v>14799.460000000005</v>
      </c>
      <c r="I9" s="263"/>
      <c r="J9" s="261">
        <f>SUM(J5:J8)</f>
        <v>0</v>
      </c>
      <c r="K9" s="263"/>
      <c r="L9" s="261">
        <f>SUM(L5:L8)</f>
        <v>0</v>
      </c>
      <c r="M9" s="296"/>
      <c r="N9" s="264">
        <f>F9+H9+J9+L9</f>
        <v>81144.42</v>
      </c>
      <c r="O9" s="296"/>
      <c r="P9" s="261">
        <f>SUM(P5:P8)</f>
        <v>77578.7</v>
      </c>
      <c r="Q9" s="204"/>
      <c r="U9" s="244">
        <f>U7+U8</f>
        <v>77578.7</v>
      </c>
      <c r="V9" s="244">
        <f>V7+V8</f>
        <v>81144.42</v>
      </c>
      <c r="W9" s="204">
        <f>V9-N9</f>
        <v>0</v>
      </c>
    </row>
    <row r="10" spans="1:23" ht="26.25" customHeight="1" thickTop="1" x14ac:dyDescent="0.3">
      <c r="B10" s="320" t="s">
        <v>78</v>
      </c>
      <c r="C10" s="320"/>
      <c r="D10" s="320"/>
      <c r="E10" s="22"/>
      <c r="F10" s="265">
        <f>F6-'R&amp;P Accounts'!B55</f>
        <v>0</v>
      </c>
      <c r="G10" s="263"/>
      <c r="H10" s="265">
        <f>H6-'R&amp;P Accounts'!D55</f>
        <v>0</v>
      </c>
      <c r="I10" s="263"/>
      <c r="J10" s="265">
        <f>J6-'R&amp;P Accounts'!F55</f>
        <v>0</v>
      </c>
      <c r="K10" s="263"/>
      <c r="L10" s="265">
        <f>L6-'R&amp;P Accounts'!H55</f>
        <v>0</v>
      </c>
      <c r="M10" s="296"/>
      <c r="N10" s="265">
        <f>N6-'R&amp;P Accounts'!J55</f>
        <v>-9.0949470177292824E-12</v>
      </c>
      <c r="O10" s="296"/>
      <c r="P10" s="265">
        <f>P6-'R&amp;P Accounts'!L55</f>
        <v>0</v>
      </c>
    </row>
    <row r="11" spans="1:23" x14ac:dyDescent="0.25">
      <c r="B11" s="312"/>
      <c r="C11" s="312"/>
      <c r="D11" s="312"/>
      <c r="E11" s="19"/>
      <c r="G11" s="297"/>
      <c r="I11" s="297"/>
      <c r="J11" s="12"/>
      <c r="K11" s="12"/>
      <c r="M11" s="297"/>
      <c r="O11" s="297"/>
    </row>
    <row r="12" spans="1:23" ht="30.75" customHeight="1" x14ac:dyDescent="0.3">
      <c r="B12" s="304" t="s">
        <v>20</v>
      </c>
      <c r="C12" s="304"/>
      <c r="D12" s="304"/>
      <c r="E12" s="20"/>
      <c r="G12" s="297"/>
      <c r="H12" s="5"/>
      <c r="I12" s="297"/>
      <c r="J12" s="301" t="s">
        <v>14</v>
      </c>
      <c r="K12" s="301"/>
      <c r="L12" s="301"/>
      <c r="M12" s="297"/>
      <c r="N12" s="5" t="s">
        <v>46</v>
      </c>
      <c r="O12" s="297"/>
      <c r="P12" s="5" t="s">
        <v>10</v>
      </c>
    </row>
    <row r="13" spans="1:23" s="61" customFormat="1" ht="13" x14ac:dyDescent="0.3">
      <c r="B13" s="305"/>
      <c r="C13" s="305"/>
      <c r="D13" s="305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23" ht="20.149999999999999" customHeight="1" x14ac:dyDescent="0.3">
      <c r="A14" s="316" t="s">
        <v>43</v>
      </c>
      <c r="B14" s="306"/>
      <c r="C14" s="306"/>
      <c r="D14" s="306"/>
      <c r="E14" s="24"/>
      <c r="G14" s="297"/>
      <c r="I14" s="12"/>
      <c r="J14" s="325"/>
      <c r="K14" s="326"/>
      <c r="L14" s="327"/>
      <c r="M14" s="18"/>
      <c r="N14" s="134"/>
      <c r="O14" s="101"/>
      <c r="P14" s="134"/>
    </row>
    <row r="15" spans="1:23" ht="20.149999999999999" customHeight="1" x14ac:dyDescent="0.3">
      <c r="A15" s="317"/>
      <c r="B15" s="306"/>
      <c r="C15" s="306"/>
      <c r="D15" s="306"/>
      <c r="E15" s="24"/>
      <c r="G15" s="297"/>
      <c r="H15" s="5"/>
      <c r="I15" s="12"/>
      <c r="J15" s="325"/>
      <c r="K15" s="326"/>
      <c r="L15" s="327"/>
      <c r="M15" s="18"/>
      <c r="N15" s="134"/>
      <c r="O15" s="101"/>
      <c r="P15" s="134"/>
    </row>
    <row r="16" spans="1:23" ht="20.149999999999999" customHeight="1" x14ac:dyDescent="0.3">
      <c r="A16" s="317"/>
      <c r="B16" s="306"/>
      <c r="C16" s="306"/>
      <c r="D16" s="306"/>
      <c r="E16" s="24"/>
      <c r="F16" s="12"/>
      <c r="G16" s="12"/>
      <c r="H16" s="59"/>
      <c r="I16" s="12"/>
      <c r="J16" s="325"/>
      <c r="K16" s="326"/>
      <c r="L16" s="327"/>
      <c r="M16" s="18"/>
      <c r="N16" s="134"/>
      <c r="O16" s="101"/>
      <c r="P16" s="134"/>
    </row>
    <row r="17" spans="1:16" ht="20.149999999999999" customHeight="1" x14ac:dyDescent="0.3">
      <c r="A17" s="317"/>
      <c r="B17" s="306"/>
      <c r="C17" s="306"/>
      <c r="D17" s="306"/>
      <c r="E17" s="24"/>
      <c r="F17" s="12"/>
      <c r="G17" s="12"/>
      <c r="H17" s="59"/>
      <c r="I17" s="12"/>
      <c r="J17" s="325"/>
      <c r="K17" s="326"/>
      <c r="L17" s="327"/>
      <c r="M17" s="18"/>
      <c r="N17" s="134"/>
      <c r="O17" s="101"/>
      <c r="P17" s="134"/>
    </row>
    <row r="18" spans="1:16" ht="20.149999999999999" customHeight="1" thickBot="1" x14ac:dyDescent="0.35">
      <c r="A18" s="317"/>
      <c r="B18" s="306"/>
      <c r="C18" s="306"/>
      <c r="D18" s="306"/>
      <c r="E18" s="24"/>
      <c r="F18" s="12"/>
      <c r="G18" s="12"/>
      <c r="H18" s="59"/>
      <c r="I18" s="12"/>
      <c r="J18" s="325"/>
      <c r="K18" s="326"/>
      <c r="L18" s="327"/>
      <c r="M18" s="18"/>
      <c r="N18" s="135"/>
      <c r="O18" s="101"/>
      <c r="P18" s="135"/>
    </row>
    <row r="19" spans="1:16" ht="20.149999999999999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36">
        <f>SUM(N14:N18)</f>
        <v>0</v>
      </c>
      <c r="O19" s="101"/>
      <c r="P19" s="136">
        <f>SUM(P14:P18)</f>
        <v>0</v>
      </c>
    </row>
    <row r="20" spans="1:16" x14ac:dyDescent="0.25">
      <c r="B20" s="318"/>
      <c r="C20" s="318"/>
      <c r="D20" s="318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">
      <c r="B21" s="304" t="s">
        <v>20</v>
      </c>
      <c r="C21" s="304"/>
      <c r="D21" s="304"/>
      <c r="E21" s="21"/>
      <c r="G21" s="12"/>
      <c r="H21" s="301" t="s">
        <v>14</v>
      </c>
      <c r="I21" s="301"/>
      <c r="J21" s="301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ht="13" x14ac:dyDescent="0.3">
      <c r="B22" s="305"/>
      <c r="C22" s="305"/>
      <c r="D22" s="305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">
      <c r="A23" s="316" t="s">
        <v>44</v>
      </c>
      <c r="B23" s="306"/>
      <c r="C23" s="306"/>
      <c r="D23" s="306"/>
      <c r="E23" s="24"/>
      <c r="G23" s="12"/>
      <c r="H23" s="313"/>
      <c r="I23" s="314"/>
      <c r="J23" s="315"/>
      <c r="K23" s="18"/>
      <c r="L23" s="134"/>
      <c r="M23" s="101"/>
      <c r="N23" s="134"/>
      <c r="O23" s="101"/>
      <c r="P23" s="134"/>
    </row>
    <row r="24" spans="1:16" ht="20.149999999999999" customHeight="1" x14ac:dyDescent="0.3">
      <c r="A24" s="317"/>
      <c r="B24" s="306"/>
      <c r="C24" s="306"/>
      <c r="D24" s="306"/>
      <c r="E24" s="24"/>
      <c r="G24" s="12"/>
      <c r="H24" s="313"/>
      <c r="I24" s="314"/>
      <c r="J24" s="315"/>
      <c r="K24" s="18"/>
      <c r="L24" s="134"/>
      <c r="M24" s="101"/>
      <c r="N24" s="134"/>
      <c r="O24" s="101"/>
      <c r="P24" s="134"/>
    </row>
    <row r="25" spans="1:16" ht="20.149999999999999" customHeight="1" x14ac:dyDescent="0.3">
      <c r="A25" s="317"/>
      <c r="B25" s="306"/>
      <c r="C25" s="306"/>
      <c r="D25" s="306"/>
      <c r="E25" s="24"/>
      <c r="G25" s="12"/>
      <c r="H25" s="313"/>
      <c r="I25" s="314"/>
      <c r="J25" s="315"/>
      <c r="K25" s="18"/>
      <c r="L25" s="134"/>
      <c r="M25" s="101"/>
      <c r="N25" s="134"/>
      <c r="O25" s="101"/>
      <c r="P25" s="134"/>
    </row>
    <row r="26" spans="1:16" ht="20.149999999999999" customHeight="1" x14ac:dyDescent="0.3">
      <c r="A26" s="317"/>
      <c r="B26" s="306"/>
      <c r="C26" s="306"/>
      <c r="D26" s="306"/>
      <c r="E26" s="24"/>
      <c r="G26" s="12"/>
      <c r="H26" s="313"/>
      <c r="I26" s="314"/>
      <c r="J26" s="315"/>
      <c r="K26" s="18"/>
      <c r="L26" s="134"/>
      <c r="M26" s="101"/>
      <c r="N26" s="134"/>
      <c r="O26" s="101"/>
      <c r="P26" s="134"/>
    </row>
    <row r="27" spans="1:16" ht="20.149999999999999" customHeight="1" x14ac:dyDescent="0.3">
      <c r="A27" s="317"/>
      <c r="B27" s="306"/>
      <c r="C27" s="306"/>
      <c r="D27" s="306"/>
      <c r="E27" s="24"/>
      <c r="G27" s="12"/>
      <c r="H27" s="313"/>
      <c r="I27" s="314"/>
      <c r="J27" s="315"/>
      <c r="K27" s="18"/>
      <c r="L27" s="134"/>
      <c r="M27" s="101"/>
      <c r="N27" s="134"/>
      <c r="O27" s="101"/>
      <c r="P27" s="134"/>
    </row>
    <row r="28" spans="1:16" ht="20.149999999999999" customHeight="1" x14ac:dyDescent="0.3">
      <c r="A28" s="317"/>
      <c r="B28" s="306"/>
      <c r="C28" s="306"/>
      <c r="D28" s="306"/>
      <c r="E28" s="24"/>
      <c r="G28" s="12"/>
      <c r="H28" s="313"/>
      <c r="I28" s="314"/>
      <c r="J28" s="315"/>
      <c r="K28" s="18"/>
      <c r="L28" s="134"/>
      <c r="M28" s="101"/>
      <c r="N28" s="134"/>
      <c r="O28" s="101"/>
      <c r="P28" s="134"/>
    </row>
    <row r="29" spans="1:16" ht="20.149999999999999" customHeight="1" x14ac:dyDescent="0.3">
      <c r="A29" s="317"/>
      <c r="B29" s="306"/>
      <c r="C29" s="306"/>
      <c r="D29" s="306"/>
      <c r="E29" s="24"/>
      <c r="G29" s="12"/>
      <c r="H29" s="313"/>
      <c r="I29" s="314"/>
      <c r="J29" s="315"/>
      <c r="K29" s="18"/>
      <c r="L29" s="134"/>
      <c r="M29" s="101"/>
      <c r="N29" s="134"/>
      <c r="O29" s="101"/>
      <c r="P29" s="134"/>
    </row>
    <row r="30" spans="1:16" ht="20.149999999999999" customHeight="1" x14ac:dyDescent="0.3">
      <c r="A30" s="317"/>
      <c r="B30" s="306"/>
      <c r="C30" s="306"/>
      <c r="D30" s="306"/>
      <c r="E30" s="24"/>
      <c r="G30" s="12"/>
      <c r="H30" s="313"/>
      <c r="I30" s="314"/>
      <c r="J30" s="315"/>
      <c r="K30" s="18"/>
      <c r="L30" s="134"/>
      <c r="M30" s="101"/>
      <c r="N30" s="134"/>
      <c r="O30" s="101"/>
      <c r="P30" s="134"/>
    </row>
    <row r="31" spans="1:16" ht="20.149999999999999" customHeight="1" thickBot="1" x14ac:dyDescent="0.35">
      <c r="A31" s="317"/>
      <c r="B31" s="306"/>
      <c r="C31" s="306"/>
      <c r="D31" s="306"/>
      <c r="E31" s="24"/>
      <c r="G31" s="12"/>
      <c r="H31" s="313"/>
      <c r="I31" s="314"/>
      <c r="J31" s="315"/>
      <c r="K31" s="18"/>
      <c r="L31" s="135"/>
      <c r="M31" s="101"/>
      <c r="N31" s="135"/>
      <c r="O31" s="101"/>
      <c r="P31" s="135"/>
    </row>
    <row r="32" spans="1:16" ht="20.149999999999999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36">
        <f>SUM(L23:L31)</f>
        <v>0</v>
      </c>
      <c r="M32" s="101"/>
      <c r="N32" s="136">
        <f>SUM(N23:N31)</f>
        <v>0</v>
      </c>
      <c r="O32" s="101"/>
      <c r="P32" s="136">
        <f>SUM(P23:P31)</f>
        <v>0</v>
      </c>
    </row>
    <row r="33" spans="1:16" ht="10.5" customHeight="1" x14ac:dyDescent="0.25">
      <c r="B33" s="312"/>
      <c r="C33" s="312"/>
      <c r="D33" s="312"/>
      <c r="E33" s="310"/>
      <c r="G33" s="310"/>
      <c r="H33" s="17"/>
      <c r="I33" s="297"/>
      <c r="J33" s="12"/>
      <c r="K33" s="12"/>
      <c r="L33" s="66"/>
      <c r="M33" s="297"/>
      <c r="N33" s="66"/>
      <c r="O33" s="311"/>
      <c r="P33" s="66"/>
    </row>
    <row r="34" spans="1:16" ht="19.5" customHeight="1" x14ac:dyDescent="0.3">
      <c r="B34" s="304" t="s">
        <v>20</v>
      </c>
      <c r="C34" s="304"/>
      <c r="D34" s="304"/>
      <c r="E34" s="310"/>
      <c r="G34" s="310"/>
      <c r="H34" s="17"/>
      <c r="I34" s="297"/>
      <c r="J34" s="301" t="s">
        <v>15</v>
      </c>
      <c r="K34" s="301"/>
      <c r="L34" s="301"/>
      <c r="M34" s="297"/>
      <c r="N34" s="5" t="s">
        <v>56</v>
      </c>
      <c r="O34" s="311"/>
      <c r="P34" s="5" t="s">
        <v>10</v>
      </c>
    </row>
    <row r="35" spans="1:16" s="61" customFormat="1" ht="13" x14ac:dyDescent="0.3">
      <c r="B35" s="305"/>
      <c r="C35" s="305"/>
      <c r="D35" s="305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">
      <c r="A36" s="316" t="s">
        <v>45</v>
      </c>
      <c r="B36" s="306"/>
      <c r="C36" s="306"/>
      <c r="D36" s="306"/>
      <c r="E36" s="24"/>
      <c r="G36" s="12"/>
      <c r="H36" s="17"/>
      <c r="I36" s="12"/>
      <c r="J36" s="307"/>
      <c r="K36" s="308"/>
      <c r="L36" s="309"/>
      <c r="M36" s="12"/>
      <c r="N36" s="125"/>
      <c r="O36" s="133"/>
      <c r="P36" s="125"/>
    </row>
    <row r="37" spans="1:16" ht="20.149999999999999" customHeight="1" x14ac:dyDescent="0.3">
      <c r="A37" s="317"/>
      <c r="B37" s="306"/>
      <c r="C37" s="306"/>
      <c r="D37" s="306"/>
      <c r="E37" s="24"/>
      <c r="G37" s="12"/>
      <c r="H37" s="17"/>
      <c r="I37" s="12"/>
      <c r="J37" s="307"/>
      <c r="K37" s="308"/>
      <c r="L37" s="309"/>
      <c r="M37" s="12"/>
      <c r="N37" s="125"/>
      <c r="O37" s="133"/>
      <c r="P37" s="125"/>
    </row>
    <row r="38" spans="1:16" ht="20.149999999999999" customHeight="1" x14ac:dyDescent="0.3">
      <c r="A38" s="317"/>
      <c r="B38" s="306"/>
      <c r="C38" s="306"/>
      <c r="D38" s="306"/>
      <c r="E38" s="24"/>
      <c r="G38" s="12"/>
      <c r="H38" s="17"/>
      <c r="I38" s="12"/>
      <c r="J38" s="307"/>
      <c r="K38" s="308"/>
      <c r="L38" s="309"/>
      <c r="M38" s="12"/>
      <c r="N38" s="125"/>
      <c r="O38" s="133"/>
      <c r="P38" s="125"/>
    </row>
    <row r="39" spans="1:16" ht="20.149999999999999" customHeight="1" x14ac:dyDescent="0.3">
      <c r="A39" s="317"/>
      <c r="B39" s="306"/>
      <c r="C39" s="306"/>
      <c r="D39" s="306"/>
      <c r="E39" s="24"/>
      <c r="G39" s="12"/>
      <c r="H39" s="17"/>
      <c r="I39" s="12"/>
      <c r="J39" s="307"/>
      <c r="K39" s="308"/>
      <c r="L39" s="309"/>
      <c r="M39" s="12"/>
      <c r="N39" s="125"/>
      <c r="O39" s="133"/>
      <c r="P39" s="125"/>
    </row>
    <row r="40" spans="1:16" ht="20.149999999999999" customHeight="1" thickBot="1" x14ac:dyDescent="0.35">
      <c r="A40" s="317"/>
      <c r="B40" s="306"/>
      <c r="C40" s="306"/>
      <c r="D40" s="306"/>
      <c r="E40" s="24"/>
      <c r="G40" s="12"/>
      <c r="H40" s="17"/>
      <c r="I40" s="12"/>
      <c r="J40" s="307"/>
      <c r="K40" s="308"/>
      <c r="L40" s="309"/>
      <c r="M40" s="12"/>
      <c r="N40" s="194"/>
      <c r="O40" s="133"/>
      <c r="P40" s="194"/>
    </row>
    <row r="41" spans="1:16" ht="20.149999999999999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195">
        <f>SUM(N36:N40)</f>
        <v>0</v>
      </c>
      <c r="O41" s="133"/>
      <c r="P41" s="195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" x14ac:dyDescent="0.3">
      <c r="B43" s="304" t="s">
        <v>20</v>
      </c>
      <c r="C43" s="304"/>
      <c r="D43" s="304"/>
      <c r="E43" s="12"/>
      <c r="G43" s="12"/>
      <c r="H43" s="12"/>
      <c r="I43" s="12"/>
      <c r="J43" s="301" t="s">
        <v>15</v>
      </c>
      <c r="K43" s="301"/>
      <c r="L43" s="301"/>
      <c r="M43" s="12"/>
      <c r="N43" s="17" t="s">
        <v>57</v>
      </c>
      <c r="O43" s="12"/>
      <c r="P43" s="5" t="s">
        <v>10</v>
      </c>
    </row>
    <row r="44" spans="1:16" s="61" customFormat="1" ht="13" x14ac:dyDescent="0.3">
      <c r="B44" s="305"/>
      <c r="C44" s="305"/>
      <c r="D44" s="305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">
      <c r="A45" s="316" t="s">
        <v>70</v>
      </c>
      <c r="B45" s="306"/>
      <c r="C45" s="306"/>
      <c r="D45" s="306"/>
      <c r="E45" s="24"/>
      <c r="G45" s="12"/>
      <c r="H45" s="12"/>
      <c r="I45" s="12"/>
      <c r="J45" s="307"/>
      <c r="K45" s="308"/>
      <c r="L45" s="309"/>
      <c r="M45" s="12"/>
      <c r="N45" s="102"/>
      <c r="O45" s="101"/>
      <c r="P45" s="102"/>
    </row>
    <row r="46" spans="1:16" ht="20.149999999999999" customHeight="1" x14ac:dyDescent="0.3">
      <c r="A46" s="317"/>
      <c r="B46" s="306"/>
      <c r="C46" s="306"/>
      <c r="D46" s="306"/>
      <c r="E46" s="24"/>
      <c r="G46" s="12"/>
      <c r="H46" s="12"/>
      <c r="I46" s="12"/>
      <c r="J46" s="307"/>
      <c r="K46" s="308"/>
      <c r="L46" s="309"/>
      <c r="M46" s="12"/>
      <c r="N46" s="102"/>
      <c r="O46" s="101"/>
      <c r="P46" s="102"/>
    </row>
    <row r="47" spans="1:16" ht="20.149999999999999" customHeight="1" thickBot="1" x14ac:dyDescent="0.35">
      <c r="A47" s="317"/>
      <c r="B47" s="306"/>
      <c r="C47" s="306"/>
      <c r="D47" s="306"/>
      <c r="E47" s="24"/>
      <c r="G47" s="12"/>
      <c r="H47" s="12"/>
      <c r="I47" s="12"/>
      <c r="J47" s="307"/>
      <c r="K47" s="308"/>
      <c r="L47" s="309"/>
      <c r="M47" s="12"/>
      <c r="N47" s="137"/>
      <c r="O47" s="101"/>
      <c r="P47" s="137"/>
    </row>
    <row r="48" spans="1:16" ht="20.149999999999999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36">
        <f>SUM(N45:N47)</f>
        <v>0</v>
      </c>
      <c r="O48" s="101"/>
      <c r="P48" s="136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">
      <c r="A50" s="73" t="s">
        <v>79</v>
      </c>
      <c r="B50" s="302" t="s">
        <v>16</v>
      </c>
      <c r="C50" s="302"/>
      <c r="D50" s="302"/>
      <c r="E50" s="302"/>
      <c r="F50" s="302"/>
      <c r="G50" s="74"/>
      <c r="H50" s="303" t="s">
        <v>17</v>
      </c>
      <c r="I50" s="303"/>
      <c r="J50" s="303"/>
      <c r="K50" s="303"/>
      <c r="L50" s="303"/>
      <c r="M50" s="75"/>
      <c r="N50" s="75"/>
      <c r="O50" s="76"/>
      <c r="P50" s="77" t="s">
        <v>18</v>
      </c>
    </row>
    <row r="51" spans="1:16" ht="33.75" customHeight="1" x14ac:dyDescent="0.3">
      <c r="A51" s="51"/>
      <c r="B51" s="328"/>
      <c r="C51" s="329"/>
      <c r="D51" s="329"/>
      <c r="E51" s="329"/>
      <c r="F51" s="330"/>
      <c r="G51" s="65"/>
      <c r="H51" s="328"/>
      <c r="I51" s="329"/>
      <c r="J51" s="329"/>
      <c r="K51" s="329"/>
      <c r="L51" s="329"/>
      <c r="M51" s="329"/>
      <c r="N51" s="330"/>
      <c r="P51" s="78"/>
    </row>
    <row r="52" spans="1:16" ht="33.75" customHeight="1" x14ac:dyDescent="0.3">
      <c r="A52" s="51"/>
      <c r="B52" s="331"/>
      <c r="C52" s="332"/>
      <c r="D52" s="332"/>
      <c r="E52" s="332"/>
      <c r="F52" s="333"/>
      <c r="G52" s="65"/>
      <c r="H52" s="334"/>
      <c r="I52" s="335"/>
      <c r="J52" s="335"/>
      <c r="K52" s="335"/>
      <c r="L52" s="335"/>
      <c r="M52" s="335"/>
      <c r="N52" s="336"/>
      <c r="P52" s="79"/>
    </row>
    <row r="53" spans="1:16" ht="14" x14ac:dyDescent="0.25">
      <c r="F53" s="65"/>
      <c r="G53" s="65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70"/>
  <sheetViews>
    <sheetView topLeftCell="A6" zoomScale="85" zoomScaleNormal="85" zoomScaleSheetLayoutView="80" workbookViewId="0">
      <selection activeCell="U11" sqref="U11"/>
    </sheetView>
  </sheetViews>
  <sheetFormatPr defaultColWidth="9.1796875" defaultRowHeight="12.5" x14ac:dyDescent="0.25"/>
  <cols>
    <col min="1" max="1" width="31.7265625" style="1" customWidth="1"/>
    <col min="2" max="2" width="15.453125" style="30" customWidth="1"/>
    <col min="3" max="3" width="1.7265625" style="1" customWidth="1"/>
    <col min="4" max="4" width="15.453125" style="1" customWidth="1"/>
    <col min="5" max="5" width="1.54296875" style="1" customWidth="1"/>
    <col min="6" max="6" width="15.453125" style="1" customWidth="1"/>
    <col min="7" max="7" width="1.453125" style="1" customWidth="1"/>
    <col min="8" max="8" width="15.453125" style="1" customWidth="1"/>
    <col min="9" max="9" width="1.54296875" style="1" customWidth="1"/>
    <col min="10" max="11" width="14.7265625" style="1" customWidth="1"/>
    <col min="12" max="16384" width="9.1796875" style="1"/>
  </cols>
  <sheetData>
    <row r="1" spans="1:21" ht="27.75" customHeight="1" x14ac:dyDescent="0.4">
      <c r="B1" s="295" t="str">
        <f>'R&amp;P Accounts'!B2</f>
        <v>Aberdeen Amateur Athletic Club</v>
      </c>
      <c r="C1" s="295"/>
      <c r="D1" s="295"/>
      <c r="E1" s="295"/>
      <c r="F1" s="295"/>
      <c r="G1" s="295"/>
      <c r="H1" s="295"/>
      <c r="I1" s="295"/>
      <c r="J1" s="295"/>
      <c r="K1" s="367" t="str">
        <f>'R&amp;P Accounts'!L2</f>
        <v>SC050149</v>
      </c>
      <c r="L1" s="367"/>
    </row>
    <row r="2" spans="1:21" ht="10.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</row>
    <row r="3" spans="1:21" s="46" customFormat="1" ht="26.25" customHeight="1" x14ac:dyDescent="0.25">
      <c r="A3" s="42" t="s">
        <v>106</v>
      </c>
      <c r="B3" s="43"/>
      <c r="C3" s="42"/>
      <c r="D3" s="42"/>
      <c r="E3" s="42"/>
      <c r="F3" s="42"/>
      <c r="G3" s="368"/>
      <c r="H3" s="368"/>
      <c r="I3" s="368"/>
      <c r="J3" s="368"/>
      <c r="K3" s="81"/>
    </row>
    <row r="4" spans="1:21" ht="1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</row>
    <row r="5" spans="1:21" ht="20.149999999999999" customHeight="1" x14ac:dyDescent="0.25">
      <c r="A5" s="358" t="s">
        <v>108</v>
      </c>
      <c r="B5" s="369" t="s">
        <v>205</v>
      </c>
      <c r="C5" s="370"/>
      <c r="D5" s="370"/>
      <c r="E5" s="370"/>
      <c r="F5" s="370"/>
      <c r="G5" s="370"/>
      <c r="H5" s="370"/>
      <c r="I5" s="370"/>
      <c r="J5" s="370"/>
      <c r="K5" s="371"/>
    </row>
    <row r="6" spans="1:21" ht="42.75" customHeight="1" x14ac:dyDescent="0.25">
      <c r="A6" s="359"/>
      <c r="B6" s="372"/>
      <c r="C6" s="373"/>
      <c r="D6" s="373"/>
      <c r="E6" s="373"/>
      <c r="F6" s="373"/>
      <c r="G6" s="373"/>
      <c r="H6" s="373"/>
      <c r="I6" s="373"/>
      <c r="J6" s="373"/>
      <c r="K6" s="374"/>
      <c r="O6" s="241"/>
      <c r="P6" s="241"/>
      <c r="Q6" s="241"/>
      <c r="R6" s="241"/>
      <c r="S6" s="241"/>
      <c r="T6" s="241"/>
      <c r="U6" s="241"/>
    </row>
    <row r="7" spans="1:21" ht="48.75" customHeight="1" x14ac:dyDescent="0.25">
      <c r="A7" s="359"/>
      <c r="B7" s="372"/>
      <c r="C7" s="373"/>
      <c r="D7" s="373"/>
      <c r="E7" s="373"/>
      <c r="F7" s="373"/>
      <c r="G7" s="373"/>
      <c r="H7" s="373"/>
      <c r="I7" s="373"/>
      <c r="J7" s="373"/>
      <c r="K7" s="374"/>
      <c r="O7" s="241"/>
      <c r="P7" s="241"/>
      <c r="Q7" s="241"/>
      <c r="R7" s="241"/>
      <c r="S7" s="241"/>
      <c r="T7" s="241"/>
      <c r="U7" s="241"/>
    </row>
    <row r="8" spans="1:21" ht="41.25" customHeight="1" x14ac:dyDescent="0.25">
      <c r="A8" s="359"/>
      <c r="B8" s="372"/>
      <c r="C8" s="373"/>
      <c r="D8" s="373"/>
      <c r="E8" s="373"/>
      <c r="F8" s="373"/>
      <c r="G8" s="373"/>
      <c r="H8" s="373"/>
      <c r="I8" s="373"/>
      <c r="J8" s="373"/>
      <c r="K8" s="374"/>
    </row>
    <row r="9" spans="1:21" ht="171" customHeight="1" x14ac:dyDescent="0.25">
      <c r="A9" s="359"/>
      <c r="B9" s="375"/>
      <c r="C9" s="376"/>
      <c r="D9" s="376"/>
      <c r="E9" s="376"/>
      <c r="F9" s="376"/>
      <c r="G9" s="376"/>
      <c r="H9" s="376"/>
      <c r="I9" s="376"/>
      <c r="J9" s="376"/>
      <c r="K9" s="377"/>
    </row>
    <row r="10" spans="1:21" x14ac:dyDescent="0.25">
      <c r="A10" s="310"/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21" ht="27" customHeight="1" x14ac:dyDescent="0.25">
      <c r="A11" s="69" t="s">
        <v>59</v>
      </c>
      <c r="B11" s="345" t="s">
        <v>50</v>
      </c>
      <c r="C11" s="345"/>
      <c r="D11" s="345"/>
      <c r="E11" s="345"/>
      <c r="F11" s="345"/>
      <c r="G11" s="12"/>
      <c r="H11" s="17" t="s">
        <v>49</v>
      </c>
      <c r="I11" s="12"/>
      <c r="J11" s="17" t="s">
        <v>90</v>
      </c>
      <c r="K11" s="17" t="s">
        <v>48</v>
      </c>
    </row>
    <row r="12" spans="1:21" ht="33.75" customHeight="1" x14ac:dyDescent="0.3">
      <c r="A12" s="212"/>
      <c r="B12" s="337"/>
      <c r="C12" s="338"/>
      <c r="D12" s="338"/>
      <c r="E12" s="338"/>
      <c r="F12" s="339"/>
      <c r="G12" s="18"/>
      <c r="H12" s="227"/>
      <c r="I12" s="175"/>
      <c r="J12" s="228"/>
      <c r="K12" s="229"/>
      <c r="M12" s="215"/>
    </row>
    <row r="13" spans="1:21" ht="33.75" customHeight="1" x14ac:dyDescent="0.3">
      <c r="A13" s="212"/>
      <c r="B13" s="337"/>
      <c r="C13" s="338"/>
      <c r="D13" s="338"/>
      <c r="E13" s="338"/>
      <c r="F13" s="339"/>
      <c r="G13" s="18"/>
      <c r="H13" s="227"/>
      <c r="I13" s="175"/>
      <c r="J13" s="228"/>
      <c r="K13" s="229"/>
    </row>
    <row r="14" spans="1:21" ht="27" customHeight="1" x14ac:dyDescent="0.3">
      <c r="A14" s="212"/>
      <c r="B14" s="337"/>
      <c r="C14" s="338"/>
      <c r="D14" s="338"/>
      <c r="E14" s="338"/>
      <c r="F14" s="339"/>
      <c r="G14" s="18"/>
      <c r="H14" s="227"/>
      <c r="I14" s="175"/>
      <c r="J14" s="228"/>
      <c r="K14" s="229"/>
    </row>
    <row r="15" spans="1:21" ht="20.149999999999999" customHeight="1" x14ac:dyDescent="0.3">
      <c r="A15" s="212"/>
      <c r="B15" s="337"/>
      <c r="C15" s="338"/>
      <c r="D15" s="338"/>
      <c r="E15" s="338"/>
      <c r="F15" s="339"/>
      <c r="G15" s="18"/>
      <c r="H15" s="227"/>
      <c r="I15" s="175"/>
      <c r="J15" s="228"/>
      <c r="K15" s="229"/>
    </row>
    <row r="16" spans="1:21" ht="20.149999999999999" customHeight="1" x14ac:dyDescent="0.3">
      <c r="A16" s="212"/>
      <c r="B16" s="337"/>
      <c r="C16" s="338"/>
      <c r="D16" s="338"/>
      <c r="E16" s="338"/>
      <c r="F16" s="339"/>
      <c r="G16" s="18"/>
      <c r="H16" s="227"/>
      <c r="I16" s="175"/>
      <c r="J16" s="228"/>
      <c r="K16" s="229"/>
    </row>
    <row r="17" spans="1:11" ht="20.149999999999999" customHeight="1" x14ac:dyDescent="0.3">
      <c r="A17" s="212"/>
      <c r="B17" s="337"/>
      <c r="C17" s="338"/>
      <c r="D17" s="338"/>
      <c r="E17" s="338"/>
      <c r="F17" s="339"/>
      <c r="G17" s="18"/>
      <c r="H17" s="227"/>
      <c r="I17" s="175"/>
      <c r="J17" s="228"/>
      <c r="K17" s="229"/>
    </row>
    <row r="18" spans="1:11" ht="20.149999999999999" customHeight="1" x14ac:dyDescent="0.3">
      <c r="A18" s="212"/>
      <c r="B18" s="337"/>
      <c r="C18" s="338"/>
      <c r="D18" s="338"/>
      <c r="E18" s="338"/>
      <c r="F18" s="339"/>
      <c r="G18" s="18"/>
      <c r="H18" s="227"/>
      <c r="I18" s="175"/>
      <c r="J18" s="228"/>
      <c r="K18" s="229"/>
    </row>
    <row r="19" spans="1:11" ht="20.149999999999999" customHeight="1" x14ac:dyDescent="0.3">
      <c r="A19" s="212"/>
      <c r="B19" s="337"/>
      <c r="C19" s="338"/>
      <c r="D19" s="338"/>
      <c r="E19" s="338"/>
      <c r="F19" s="339"/>
      <c r="G19" s="18"/>
      <c r="H19" s="227"/>
      <c r="I19" s="175"/>
      <c r="J19" s="228"/>
      <c r="K19" s="229"/>
    </row>
    <row r="20" spans="1:11" ht="27" customHeight="1" x14ac:dyDescent="0.3">
      <c r="A20" s="212"/>
      <c r="B20" s="337"/>
      <c r="C20" s="338"/>
      <c r="D20" s="338"/>
      <c r="E20" s="338"/>
      <c r="F20" s="339"/>
      <c r="G20" s="18"/>
      <c r="H20" s="227"/>
      <c r="I20" s="175"/>
      <c r="J20" s="228"/>
      <c r="K20" s="229"/>
    </row>
    <row r="21" spans="1:11" ht="20.149999999999999" customHeight="1" x14ac:dyDescent="0.3">
      <c r="A21" s="212"/>
      <c r="B21" s="245"/>
      <c r="G21" s="18"/>
      <c r="H21" s="227"/>
      <c r="I21" s="175"/>
      <c r="J21" s="228"/>
      <c r="K21" s="229"/>
    </row>
    <row r="22" spans="1:11" ht="42.75" customHeight="1" x14ac:dyDescent="0.3">
      <c r="A22" s="212"/>
      <c r="B22" s="387"/>
      <c r="C22" s="388"/>
      <c r="D22" s="388"/>
      <c r="E22" s="388"/>
      <c r="F22" s="388"/>
      <c r="G22" s="18"/>
      <c r="H22" s="227"/>
      <c r="I22" s="175"/>
      <c r="J22" s="228"/>
      <c r="K22" s="229"/>
    </row>
    <row r="23" spans="1:11" ht="15.5" x14ac:dyDescent="0.3">
      <c r="A23" s="246"/>
      <c r="B23" s="387"/>
      <c r="C23" s="388"/>
      <c r="D23" s="388"/>
      <c r="E23" s="388"/>
      <c r="F23" s="388"/>
      <c r="G23" s="247"/>
      <c r="H23" s="248"/>
      <c r="I23" s="249"/>
      <c r="J23" s="248"/>
      <c r="K23" s="250"/>
    </row>
    <row r="24" spans="1:11" ht="26.25" customHeight="1" x14ac:dyDescent="0.3">
      <c r="A24" s="246"/>
      <c r="B24" s="337"/>
      <c r="C24" s="338"/>
      <c r="D24" s="338"/>
      <c r="E24" s="338"/>
      <c r="F24" s="339"/>
      <c r="G24" s="18"/>
      <c r="H24" s="227"/>
      <c r="I24" s="175"/>
      <c r="J24" s="228"/>
      <c r="K24" s="229"/>
    </row>
    <row r="25" spans="1:11" ht="15.5" x14ac:dyDescent="0.3">
      <c r="A25" s="212"/>
      <c r="B25" s="237"/>
      <c r="C25" s="238"/>
      <c r="D25" s="238"/>
      <c r="E25" s="238"/>
      <c r="F25" s="239"/>
      <c r="G25" s="18"/>
      <c r="H25" s="227"/>
      <c r="I25" s="175"/>
      <c r="J25" s="228"/>
      <c r="K25" s="229"/>
    </row>
    <row r="26" spans="1:11" ht="15.5" x14ac:dyDescent="0.3">
      <c r="A26" s="212"/>
      <c r="B26" s="237"/>
      <c r="C26" s="238"/>
      <c r="D26" s="238"/>
      <c r="E26" s="238"/>
      <c r="F26" s="239"/>
      <c r="G26" s="18"/>
      <c r="H26" s="227"/>
      <c r="I26" s="175"/>
      <c r="J26" s="228"/>
      <c r="K26" s="229"/>
    </row>
    <row r="27" spans="1:11" ht="15.5" x14ac:dyDescent="0.3">
      <c r="A27" s="212"/>
      <c r="B27" s="237"/>
      <c r="C27" s="238"/>
      <c r="D27" s="238"/>
      <c r="E27" s="238"/>
      <c r="F27" s="239"/>
      <c r="G27" s="18"/>
      <c r="H27" s="227"/>
      <c r="I27" s="175"/>
      <c r="J27" s="228"/>
      <c r="K27" s="229"/>
    </row>
    <row r="28" spans="1:11" ht="20.149999999999999" customHeight="1" x14ac:dyDescent="0.3">
      <c r="A28" s="70"/>
      <c r="B28" s="360"/>
      <c r="C28" s="361"/>
      <c r="D28" s="361"/>
      <c r="E28" s="361"/>
      <c r="F28" s="362"/>
      <c r="G28" s="18"/>
      <c r="H28" s="174"/>
      <c r="I28" s="175"/>
      <c r="J28" s="230"/>
      <c r="K28" s="229"/>
    </row>
    <row r="29" spans="1:11" ht="20.149999999999999" customHeight="1" x14ac:dyDescent="0.3">
      <c r="A29" s="70"/>
      <c r="B29" s="360"/>
      <c r="C29" s="361"/>
      <c r="D29" s="361"/>
      <c r="E29" s="361"/>
      <c r="F29" s="362"/>
      <c r="G29" s="18"/>
      <c r="H29" s="174"/>
      <c r="I29" s="175"/>
      <c r="J29" s="176"/>
      <c r="K29" s="177"/>
    </row>
    <row r="30" spans="1:11" ht="20.149999999999999" customHeight="1" x14ac:dyDescent="0.3">
      <c r="A30" s="70"/>
      <c r="B30" s="363"/>
      <c r="C30" s="364"/>
      <c r="D30" s="364"/>
      <c r="E30" s="364"/>
      <c r="F30" s="365"/>
      <c r="G30" s="18"/>
      <c r="H30" s="174"/>
      <c r="I30" s="175"/>
      <c r="J30" s="176"/>
      <c r="K30" s="178"/>
    </row>
    <row r="31" spans="1:11" ht="20.25" customHeight="1" x14ac:dyDescent="0.3">
      <c r="A31" s="12"/>
      <c r="B31" s="386" t="s">
        <v>84</v>
      </c>
      <c r="C31" s="386"/>
      <c r="D31" s="386"/>
      <c r="E31" s="386"/>
      <c r="F31" s="386"/>
      <c r="G31" s="386"/>
      <c r="H31" s="386"/>
      <c r="I31" s="386"/>
      <c r="J31" s="386"/>
      <c r="K31" s="196">
        <f>SUM(K12:K30)</f>
        <v>0</v>
      </c>
    </row>
    <row r="32" spans="1:11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20.149999999999999" customHeight="1" x14ac:dyDescent="0.25">
      <c r="A33" s="60" t="s">
        <v>60</v>
      </c>
      <c r="B33" s="380" t="s">
        <v>112</v>
      </c>
      <c r="C33" s="381"/>
      <c r="D33" s="381"/>
      <c r="E33" s="381"/>
      <c r="F33" s="381"/>
      <c r="G33" s="381"/>
      <c r="H33" s="381"/>
      <c r="I33" s="381"/>
      <c r="J33" s="382"/>
      <c r="K33" s="343" t="s">
        <v>165</v>
      </c>
    </row>
    <row r="34" spans="1:11" ht="17.25" customHeight="1" x14ac:dyDescent="0.25">
      <c r="A34" s="16"/>
      <c r="B34" s="383"/>
      <c r="C34" s="384"/>
      <c r="D34" s="384"/>
      <c r="E34" s="384"/>
      <c r="F34" s="384"/>
      <c r="G34" s="384"/>
      <c r="H34" s="384"/>
      <c r="I34" s="384"/>
      <c r="J34" s="385"/>
      <c r="K34" s="344"/>
    </row>
    <row r="35" spans="1:11" ht="12.75" customHeight="1" x14ac:dyDescent="0.25">
      <c r="A35" s="310"/>
      <c r="B35" s="310"/>
      <c r="C35" s="310"/>
      <c r="D35" s="310"/>
      <c r="E35" s="310"/>
      <c r="F35" s="310"/>
      <c r="G35" s="310"/>
      <c r="H35" s="310"/>
      <c r="I35" s="310"/>
      <c r="J35" s="310"/>
      <c r="K35" s="310"/>
    </row>
    <row r="36" spans="1:11" ht="27" customHeight="1" x14ac:dyDescent="0.25">
      <c r="B36" s="345" t="s">
        <v>51</v>
      </c>
      <c r="C36" s="345"/>
      <c r="D36" s="345"/>
      <c r="E36" s="345"/>
      <c r="F36" s="345"/>
      <c r="G36" s="345"/>
      <c r="H36" s="345"/>
      <c r="I36" s="345"/>
      <c r="J36" s="345"/>
      <c r="K36" s="17" t="s">
        <v>48</v>
      </c>
    </row>
    <row r="37" spans="1:11" ht="19.5" customHeight="1" x14ac:dyDescent="0.3">
      <c r="A37" s="358" t="s">
        <v>61</v>
      </c>
      <c r="B37" s="360"/>
      <c r="C37" s="361"/>
      <c r="D37" s="361"/>
      <c r="E37" s="361"/>
      <c r="F37" s="361"/>
      <c r="G37" s="361"/>
      <c r="H37" s="361"/>
      <c r="I37" s="361"/>
      <c r="J37" s="362"/>
      <c r="K37" s="90"/>
    </row>
    <row r="38" spans="1:11" ht="20.149999999999999" customHeight="1" x14ac:dyDescent="0.3">
      <c r="A38" s="359"/>
      <c r="B38" s="360"/>
      <c r="C38" s="361"/>
      <c r="D38" s="361"/>
      <c r="E38" s="361"/>
      <c r="F38" s="361"/>
      <c r="G38" s="361"/>
      <c r="H38" s="361"/>
      <c r="I38" s="361"/>
      <c r="J38" s="362"/>
      <c r="K38" s="90"/>
    </row>
    <row r="39" spans="1:11" ht="20.149999999999999" customHeight="1" x14ac:dyDescent="0.3">
      <c r="A39" s="359"/>
      <c r="B39" s="360"/>
      <c r="C39" s="361"/>
      <c r="D39" s="361"/>
      <c r="E39" s="361"/>
      <c r="F39" s="361"/>
      <c r="G39" s="361"/>
      <c r="H39" s="361"/>
      <c r="I39" s="361"/>
      <c r="J39" s="362"/>
      <c r="K39" s="90"/>
    </row>
    <row r="40" spans="1:11" ht="20.149999999999999" customHeight="1" x14ac:dyDescent="0.3">
      <c r="A40" s="359"/>
      <c r="B40" s="360"/>
      <c r="C40" s="361"/>
      <c r="D40" s="361"/>
      <c r="E40" s="361"/>
      <c r="F40" s="361"/>
      <c r="G40" s="361"/>
      <c r="H40" s="361"/>
      <c r="I40" s="361"/>
      <c r="J40" s="362"/>
      <c r="K40" s="90"/>
    </row>
    <row r="41" spans="1:11" ht="20.149999999999999" customHeight="1" x14ac:dyDescent="0.3">
      <c r="A41" s="359"/>
      <c r="B41" s="363"/>
      <c r="C41" s="364"/>
      <c r="D41" s="364"/>
      <c r="E41" s="364"/>
      <c r="F41" s="364"/>
      <c r="G41" s="364"/>
      <c r="H41" s="364"/>
      <c r="I41" s="364"/>
      <c r="J41" s="365"/>
      <c r="K41" s="90"/>
    </row>
    <row r="42" spans="1:11" x14ac:dyDescent="0.25">
      <c r="A42" s="310"/>
      <c r="B42" s="310"/>
      <c r="C42" s="310"/>
      <c r="D42" s="310"/>
      <c r="E42" s="310"/>
      <c r="F42" s="310"/>
      <c r="G42" s="310"/>
      <c r="H42" s="310"/>
      <c r="I42" s="310"/>
      <c r="J42" s="310"/>
      <c r="K42" s="310"/>
    </row>
    <row r="43" spans="1:11" ht="20.149999999999999" customHeight="1" x14ac:dyDescent="0.25">
      <c r="A43" s="60" t="s">
        <v>62</v>
      </c>
      <c r="B43" s="380" t="s">
        <v>113</v>
      </c>
      <c r="C43" s="381"/>
      <c r="D43" s="381"/>
      <c r="E43" s="381"/>
      <c r="F43" s="381"/>
      <c r="G43" s="381"/>
      <c r="H43" s="381"/>
      <c r="I43" s="381"/>
      <c r="J43" s="382"/>
      <c r="K43" s="378" t="s">
        <v>165</v>
      </c>
    </row>
    <row r="44" spans="1:11" ht="17.25" customHeight="1" x14ac:dyDescent="0.25">
      <c r="A44" s="16"/>
      <c r="B44" s="383"/>
      <c r="C44" s="384"/>
      <c r="D44" s="384"/>
      <c r="E44" s="384"/>
      <c r="F44" s="384"/>
      <c r="G44" s="384"/>
      <c r="H44" s="384"/>
      <c r="I44" s="384"/>
      <c r="J44" s="385"/>
      <c r="K44" s="379"/>
    </row>
    <row r="45" spans="1:11" ht="12.75" customHeight="1" x14ac:dyDescent="0.25">
      <c r="A45" s="310"/>
      <c r="B45" s="310"/>
      <c r="C45" s="310"/>
      <c r="D45" s="310"/>
      <c r="E45" s="310"/>
      <c r="F45" s="310"/>
      <c r="G45" s="310"/>
      <c r="H45" s="310"/>
      <c r="I45" s="310"/>
      <c r="J45" s="310"/>
      <c r="K45" s="310"/>
    </row>
    <row r="46" spans="1:11" ht="27" customHeight="1" x14ac:dyDescent="0.25">
      <c r="A46" s="356"/>
      <c r="B46" s="356"/>
      <c r="C46" s="356"/>
      <c r="D46" s="356"/>
      <c r="E46" s="356"/>
      <c r="F46" s="356"/>
      <c r="G46" s="356"/>
      <c r="H46" s="356"/>
      <c r="I46" s="12"/>
      <c r="J46" s="17" t="s">
        <v>83</v>
      </c>
      <c r="K46" s="17" t="s">
        <v>48</v>
      </c>
    </row>
    <row r="47" spans="1:11" ht="20.149999999999999" customHeight="1" x14ac:dyDescent="0.3">
      <c r="A47" s="358" t="s">
        <v>63</v>
      </c>
      <c r="B47" s="360"/>
      <c r="C47" s="361"/>
      <c r="D47" s="361"/>
      <c r="E47" s="361"/>
      <c r="F47" s="361"/>
      <c r="G47" s="361"/>
      <c r="H47" s="362"/>
      <c r="I47" s="18"/>
      <c r="J47" s="90"/>
      <c r="K47" s="90"/>
    </row>
    <row r="48" spans="1:11" ht="20.149999999999999" customHeight="1" x14ac:dyDescent="0.3">
      <c r="A48" s="359"/>
      <c r="B48" s="360"/>
      <c r="C48" s="361"/>
      <c r="D48" s="361"/>
      <c r="E48" s="361"/>
      <c r="F48" s="361"/>
      <c r="G48" s="361"/>
      <c r="H48" s="362"/>
      <c r="I48" s="18"/>
      <c r="J48" s="90"/>
      <c r="K48" s="90"/>
    </row>
    <row r="49" spans="1:11" ht="20.149999999999999" customHeight="1" x14ac:dyDescent="0.3">
      <c r="A49" s="359"/>
      <c r="B49" s="360"/>
      <c r="C49" s="361"/>
      <c r="D49" s="361"/>
      <c r="E49" s="361"/>
      <c r="F49" s="361"/>
      <c r="G49" s="361"/>
      <c r="H49" s="362"/>
      <c r="I49" s="18"/>
      <c r="J49" s="90"/>
      <c r="K49" s="90"/>
    </row>
    <row r="50" spans="1:11" ht="20.149999999999999" customHeight="1" x14ac:dyDescent="0.3">
      <c r="A50" s="359"/>
      <c r="B50" s="360"/>
      <c r="C50" s="361"/>
      <c r="D50" s="361"/>
      <c r="E50" s="361"/>
      <c r="F50" s="361"/>
      <c r="G50" s="361"/>
      <c r="H50" s="362"/>
      <c r="I50" s="18"/>
      <c r="J50" s="90"/>
      <c r="K50" s="90"/>
    </row>
    <row r="51" spans="1:11" ht="20.149999999999999" customHeight="1" x14ac:dyDescent="0.3">
      <c r="A51" s="359"/>
      <c r="B51" s="363"/>
      <c r="C51" s="364"/>
      <c r="D51" s="364"/>
      <c r="E51" s="364"/>
      <c r="F51" s="364"/>
      <c r="G51" s="364"/>
      <c r="H51" s="365"/>
      <c r="I51" s="18"/>
      <c r="J51" s="90"/>
      <c r="K51" s="90"/>
    </row>
    <row r="52" spans="1:11" x14ac:dyDescent="0.25">
      <c r="A52" s="310"/>
      <c r="B52" s="310"/>
      <c r="C52" s="310"/>
      <c r="D52" s="310"/>
      <c r="E52" s="310"/>
      <c r="F52" s="310"/>
      <c r="G52" s="310"/>
      <c r="H52" s="310"/>
      <c r="I52" s="310"/>
      <c r="J52" s="310"/>
      <c r="K52" s="310"/>
    </row>
    <row r="53" spans="1:11" ht="34.5" x14ac:dyDescent="0.3">
      <c r="B53" s="366" t="s">
        <v>52</v>
      </c>
      <c r="C53" s="366"/>
      <c r="D53" s="366"/>
      <c r="E53" s="12"/>
      <c r="F53" s="366" t="s">
        <v>58</v>
      </c>
      <c r="G53" s="366"/>
      <c r="H53" s="366"/>
      <c r="I53" s="12"/>
      <c r="J53" s="17" t="s">
        <v>53</v>
      </c>
      <c r="K53" s="17" t="s">
        <v>54</v>
      </c>
    </row>
    <row r="54" spans="1:11" ht="20.149999999999999" customHeight="1" x14ac:dyDescent="0.3">
      <c r="A54" s="358" t="s">
        <v>64</v>
      </c>
      <c r="B54" s="360"/>
      <c r="C54" s="361"/>
      <c r="D54" s="362"/>
      <c r="E54" s="91"/>
      <c r="F54" s="340"/>
      <c r="G54" s="341"/>
      <c r="H54" s="342"/>
      <c r="I54" s="18"/>
      <c r="J54" s="90"/>
      <c r="K54" s="90"/>
    </row>
    <row r="55" spans="1:11" ht="20.149999999999999" customHeight="1" x14ac:dyDescent="0.3">
      <c r="A55" s="359"/>
      <c r="B55" s="363"/>
      <c r="C55" s="364"/>
      <c r="D55" s="365"/>
      <c r="E55" s="91"/>
      <c r="F55" s="340"/>
      <c r="G55" s="341"/>
      <c r="H55" s="342"/>
      <c r="I55" s="18"/>
      <c r="J55" s="90"/>
      <c r="K55" s="90"/>
    </row>
    <row r="56" spans="1:11" ht="20.149999999999999" customHeight="1" x14ac:dyDescent="0.3">
      <c r="A56" s="359"/>
      <c r="B56" s="360"/>
      <c r="C56" s="361"/>
      <c r="D56" s="362"/>
      <c r="E56" s="91"/>
      <c r="F56" s="340"/>
      <c r="G56" s="341"/>
      <c r="H56" s="342"/>
      <c r="I56" s="18"/>
      <c r="J56" s="90"/>
      <c r="K56" s="90"/>
    </row>
    <row r="57" spans="1:11" ht="20.149999999999999" customHeight="1" x14ac:dyDescent="0.3">
      <c r="A57" s="359"/>
      <c r="B57" s="360"/>
      <c r="C57" s="361"/>
      <c r="D57" s="362"/>
      <c r="E57" s="91"/>
      <c r="F57" s="340"/>
      <c r="G57" s="341"/>
      <c r="H57" s="342"/>
      <c r="I57" s="18"/>
      <c r="J57" s="90"/>
      <c r="K57" s="90"/>
    </row>
    <row r="58" spans="1:11" ht="20.149999999999999" customHeight="1" x14ac:dyDescent="0.3">
      <c r="A58" s="359"/>
      <c r="B58" s="363"/>
      <c r="C58" s="364"/>
      <c r="D58" s="365"/>
      <c r="E58" s="91"/>
      <c r="F58" s="340"/>
      <c r="G58" s="341"/>
      <c r="H58" s="342"/>
      <c r="I58" s="18"/>
      <c r="J58" s="90"/>
      <c r="K58" s="90"/>
    </row>
    <row r="59" spans="1:11" x14ac:dyDescent="0.25">
      <c r="A59" s="356"/>
      <c r="B59" s="357"/>
      <c r="C59" s="357"/>
      <c r="D59" s="357"/>
      <c r="E59" s="357"/>
      <c r="F59" s="357"/>
      <c r="G59" s="357"/>
      <c r="H59" s="357"/>
      <c r="I59" s="357"/>
      <c r="J59" s="357"/>
      <c r="K59" s="357"/>
    </row>
    <row r="60" spans="1:11" ht="19.5" customHeight="1" x14ac:dyDescent="0.25">
      <c r="A60" s="346" t="s">
        <v>65</v>
      </c>
      <c r="B60" s="347"/>
      <c r="C60" s="348"/>
      <c r="D60" s="348"/>
      <c r="E60" s="348"/>
      <c r="F60" s="348"/>
      <c r="G60" s="348"/>
      <c r="H60" s="348"/>
      <c r="I60" s="348"/>
      <c r="J60" s="348"/>
      <c r="K60" s="349"/>
    </row>
    <row r="61" spans="1:11" ht="19.5" customHeight="1" x14ac:dyDescent="0.25">
      <c r="A61" s="346"/>
      <c r="B61" s="350"/>
      <c r="C61" s="351"/>
      <c r="D61" s="351"/>
      <c r="E61" s="351"/>
      <c r="F61" s="351"/>
      <c r="G61" s="351"/>
      <c r="H61" s="351"/>
      <c r="I61" s="351"/>
      <c r="J61" s="351"/>
      <c r="K61" s="352"/>
    </row>
    <row r="62" spans="1:11" ht="19.5" customHeight="1" x14ac:dyDescent="0.25">
      <c r="A62" s="346"/>
      <c r="B62" s="350"/>
      <c r="C62" s="351"/>
      <c r="D62" s="351"/>
      <c r="E62" s="351"/>
      <c r="F62" s="351"/>
      <c r="G62" s="351"/>
      <c r="H62" s="351"/>
      <c r="I62" s="351"/>
      <c r="J62" s="351"/>
      <c r="K62" s="352"/>
    </row>
    <row r="63" spans="1:11" ht="19.5" customHeight="1" x14ac:dyDescent="0.25">
      <c r="A63" s="346"/>
      <c r="B63" s="350"/>
      <c r="C63" s="351"/>
      <c r="D63" s="351"/>
      <c r="E63" s="351"/>
      <c r="F63" s="351"/>
      <c r="G63" s="351"/>
      <c r="H63" s="351"/>
      <c r="I63" s="351"/>
      <c r="J63" s="351"/>
      <c r="K63" s="352"/>
    </row>
    <row r="64" spans="1:11" ht="10.5" customHeight="1" x14ac:dyDescent="0.25">
      <c r="A64" s="346"/>
      <c r="B64" s="350"/>
      <c r="C64" s="351"/>
      <c r="D64" s="351"/>
      <c r="E64" s="351"/>
      <c r="F64" s="351"/>
      <c r="G64" s="351"/>
      <c r="H64" s="351"/>
      <c r="I64" s="351"/>
      <c r="J64" s="351"/>
      <c r="K64" s="352"/>
    </row>
    <row r="65" spans="1:11" ht="11.25" customHeight="1" x14ac:dyDescent="0.25">
      <c r="A65" s="346"/>
      <c r="B65" s="350"/>
      <c r="C65" s="351"/>
      <c r="D65" s="351"/>
      <c r="E65" s="351"/>
      <c r="F65" s="351"/>
      <c r="G65" s="351"/>
      <c r="H65" s="351"/>
      <c r="I65" s="351"/>
      <c r="J65" s="351"/>
      <c r="K65" s="352"/>
    </row>
    <row r="66" spans="1:11" ht="12.75" customHeight="1" x14ac:dyDescent="0.25">
      <c r="A66" s="346"/>
      <c r="B66" s="350"/>
      <c r="C66" s="351"/>
      <c r="D66" s="351"/>
      <c r="E66" s="351"/>
      <c r="F66" s="351"/>
      <c r="G66" s="351"/>
      <c r="H66" s="351"/>
      <c r="I66" s="351"/>
      <c r="J66" s="351"/>
      <c r="K66" s="352"/>
    </row>
    <row r="67" spans="1:11" ht="5.25" customHeight="1" x14ac:dyDescent="0.25">
      <c r="A67" s="346"/>
      <c r="B67" s="350"/>
      <c r="C67" s="351"/>
      <c r="D67" s="351"/>
      <c r="E67" s="351"/>
      <c r="F67" s="351"/>
      <c r="G67" s="351"/>
      <c r="H67" s="351"/>
      <c r="I67" s="351"/>
      <c r="J67" s="351"/>
      <c r="K67" s="352"/>
    </row>
    <row r="68" spans="1:11" ht="4.5" customHeight="1" x14ac:dyDescent="0.25">
      <c r="A68" s="346"/>
      <c r="B68" s="350"/>
      <c r="C68" s="351"/>
      <c r="D68" s="351"/>
      <c r="E68" s="351"/>
      <c r="F68" s="351"/>
      <c r="G68" s="351"/>
      <c r="H68" s="351"/>
      <c r="I68" s="351"/>
      <c r="J68" s="351"/>
      <c r="K68" s="352"/>
    </row>
    <row r="69" spans="1:11" ht="4.5" customHeight="1" x14ac:dyDescent="0.25">
      <c r="A69" s="346"/>
      <c r="B69" s="353"/>
      <c r="C69" s="354"/>
      <c r="D69" s="354"/>
      <c r="E69" s="354"/>
      <c r="F69" s="354"/>
      <c r="G69" s="354"/>
      <c r="H69" s="354"/>
      <c r="I69" s="354"/>
      <c r="J69" s="354"/>
      <c r="K69" s="355"/>
    </row>
    <row r="70" spans="1:11" x14ac:dyDescent="0.25">
      <c r="B70" s="52"/>
    </row>
  </sheetData>
  <mergeCells count="63">
    <mergeCell ref="B28:F28"/>
    <mergeCell ref="B31:J31"/>
    <mergeCell ref="B33:J34"/>
    <mergeCell ref="B20:F20"/>
    <mergeCell ref="B24:F24"/>
    <mergeCell ref="B22:F22"/>
    <mergeCell ref="B23:F23"/>
    <mergeCell ref="K43:K44"/>
    <mergeCell ref="A42:K42"/>
    <mergeCell ref="B37:J37"/>
    <mergeCell ref="B38:J38"/>
    <mergeCell ref="B39:J39"/>
    <mergeCell ref="B40:J40"/>
    <mergeCell ref="B41:J41"/>
    <mergeCell ref="B43:J44"/>
    <mergeCell ref="A37:A41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F54:H54"/>
    <mergeCell ref="B48:H48"/>
    <mergeCell ref="B49:H49"/>
    <mergeCell ref="B50:H50"/>
    <mergeCell ref="B51:H51"/>
    <mergeCell ref="B47:H47"/>
    <mergeCell ref="B30:F30"/>
    <mergeCell ref="B53:D53"/>
    <mergeCell ref="F53:H53"/>
    <mergeCell ref="A52:K52"/>
    <mergeCell ref="A46:H46"/>
    <mergeCell ref="A45:K45"/>
    <mergeCell ref="A47:A51"/>
    <mergeCell ref="B29:F29"/>
    <mergeCell ref="B18:F18"/>
    <mergeCell ref="F58:H58"/>
    <mergeCell ref="K33:K34"/>
    <mergeCell ref="A35:K35"/>
    <mergeCell ref="B36:J36"/>
    <mergeCell ref="A60:A69"/>
    <mergeCell ref="B60:K69"/>
    <mergeCell ref="A59:K59"/>
    <mergeCell ref="A54:A58"/>
    <mergeCell ref="B54:D54"/>
    <mergeCell ref="B55:D55"/>
    <mergeCell ref="B56:D56"/>
    <mergeCell ref="B57:D57"/>
    <mergeCell ref="B58:D58"/>
    <mergeCell ref="F55:H55"/>
    <mergeCell ref="F56:H56"/>
    <mergeCell ref="F57:H57"/>
    <mergeCell ref="B17:F17"/>
    <mergeCell ref="B19:F19"/>
    <mergeCell ref="B12:F12"/>
    <mergeCell ref="B13:F13"/>
    <mergeCell ref="B14:F14"/>
    <mergeCell ref="B15:F15"/>
    <mergeCell ref="B16:F16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S127"/>
  <sheetViews>
    <sheetView zoomScale="80" workbookViewId="0">
      <selection activeCell="E83" sqref="E83"/>
    </sheetView>
  </sheetViews>
  <sheetFormatPr defaultColWidth="9.1796875" defaultRowHeight="12.5" x14ac:dyDescent="0.25"/>
  <cols>
    <col min="1" max="1" width="82.7265625" style="1" bestFit="1" customWidth="1"/>
    <col min="2" max="2" width="1.54296875" style="1" customWidth="1"/>
    <col min="3" max="3" width="15.453125" style="30" customWidth="1"/>
    <col min="4" max="4" width="1.7265625" style="1" customWidth="1"/>
    <col min="5" max="5" width="15.453125" style="1" customWidth="1"/>
    <col min="6" max="6" width="1.54296875" style="1" customWidth="1"/>
    <col min="7" max="7" width="15.453125" style="1" customWidth="1"/>
    <col min="8" max="8" width="1.453125" style="1" customWidth="1"/>
    <col min="9" max="9" width="15.453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5" width="9.1796875" style="1"/>
    <col min="16" max="16" width="10.1796875" style="1" bestFit="1" customWidth="1"/>
    <col min="17" max="18" width="9.1796875" style="1"/>
    <col min="19" max="19" width="15.7265625" style="1" bestFit="1" customWidth="1"/>
    <col min="20" max="16384" width="9.1796875" style="1"/>
  </cols>
  <sheetData>
    <row r="1" spans="1:14" ht="27.75" customHeight="1" x14ac:dyDescent="0.4">
      <c r="C1" s="295" t="str">
        <f>'R&amp;P Accounts'!B2</f>
        <v>Aberdeen Amateur Athletic Club</v>
      </c>
      <c r="D1" s="295"/>
      <c r="E1" s="295"/>
      <c r="F1" s="295"/>
      <c r="G1" s="295"/>
      <c r="H1" s="295"/>
      <c r="I1" s="295"/>
      <c r="J1" s="295"/>
      <c r="K1" s="295"/>
      <c r="M1" s="367" t="str">
        <f>'R&amp;P Accounts'!L2</f>
        <v>SC050149</v>
      </c>
      <c r="N1" s="367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109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</row>
    <row r="5" spans="1:14" ht="20.149999999999999" customHeight="1" x14ac:dyDescent="0.25">
      <c r="A5" s="392" t="s">
        <v>126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</row>
    <row r="6" spans="1:14" ht="20.149999999999999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25">
      <c r="A7" s="60" t="s">
        <v>117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49999999999999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">
      <c r="A10" s="98" t="s">
        <v>175</v>
      </c>
      <c r="B10" s="18"/>
      <c r="C10" s="214">
        <f>'R&amp;P Accounts'!B12-C11</f>
        <v>40256.53</v>
      </c>
      <c r="D10" s="119"/>
      <c r="E10" s="118"/>
      <c r="F10" s="119"/>
      <c r="G10" s="118"/>
      <c r="H10" s="122"/>
      <c r="I10" s="118"/>
      <c r="J10" s="122"/>
      <c r="K10" s="214">
        <f>SUM(C10:I10)</f>
        <v>40256.53</v>
      </c>
      <c r="L10" s="119"/>
      <c r="M10" s="123">
        <v>37354.01999999999</v>
      </c>
      <c r="N10" s="215"/>
    </row>
    <row r="11" spans="1:14" ht="16.5" customHeight="1" x14ac:dyDescent="0.3">
      <c r="A11" s="98" t="s">
        <v>21</v>
      </c>
      <c r="B11" s="18"/>
      <c r="C11" s="214">
        <v>8122.72</v>
      </c>
      <c r="D11" s="119"/>
      <c r="E11" s="118"/>
      <c r="F11" s="119"/>
      <c r="G11" s="118"/>
      <c r="H11" s="122"/>
      <c r="I11" s="118"/>
      <c r="J11" s="122"/>
      <c r="K11" s="118">
        <f>SUM(C11:I11)</f>
        <v>8122.72</v>
      </c>
      <c r="L11" s="119"/>
      <c r="M11" s="123">
        <v>5383.52</v>
      </c>
    </row>
    <row r="12" spans="1:14" ht="16.5" customHeight="1" x14ac:dyDescent="0.3">
      <c r="A12" s="98"/>
      <c r="B12" s="18"/>
      <c r="C12" s="214"/>
      <c r="D12" s="119"/>
      <c r="E12" s="118"/>
      <c r="F12" s="119"/>
      <c r="G12" s="118"/>
      <c r="H12" s="122"/>
      <c r="I12" s="118"/>
      <c r="J12" s="122"/>
      <c r="K12" s="118">
        <f>SUM(C12:I12)</f>
        <v>0</v>
      </c>
      <c r="L12" s="119"/>
      <c r="M12" s="123">
        <v>0</v>
      </c>
    </row>
    <row r="13" spans="1:14" ht="16.5" customHeight="1" x14ac:dyDescent="0.3">
      <c r="A13" s="99"/>
      <c r="B13" s="93"/>
      <c r="C13" s="216"/>
      <c r="D13" s="119"/>
      <c r="E13" s="118"/>
      <c r="F13" s="119"/>
      <c r="G13" s="118"/>
      <c r="H13" s="119"/>
      <c r="I13" s="118"/>
      <c r="J13" s="119"/>
      <c r="K13" s="118">
        <f>SUM(C13:I13)</f>
        <v>0</v>
      </c>
      <c r="L13" s="197"/>
      <c r="M13" s="123">
        <v>0</v>
      </c>
    </row>
    <row r="14" spans="1:14" ht="20.25" customHeight="1" thickBot="1" x14ac:dyDescent="0.3">
      <c r="A14" s="95" t="s">
        <v>84</v>
      </c>
      <c r="B14" s="95"/>
      <c r="C14" s="121">
        <f>SUM(C10:C13)</f>
        <v>48379.25</v>
      </c>
      <c r="D14" s="119"/>
      <c r="E14" s="121">
        <f>SUM(E10:E13)</f>
        <v>0</v>
      </c>
      <c r="F14" s="119"/>
      <c r="G14" s="121">
        <f>SUM(G10:G13)</f>
        <v>0</v>
      </c>
      <c r="H14" s="119"/>
      <c r="I14" s="121">
        <f>SUM(I10:I13)</f>
        <v>0</v>
      </c>
      <c r="J14" s="119"/>
      <c r="K14" s="121">
        <f>SUM(K10:K13)</f>
        <v>48379.25</v>
      </c>
      <c r="L14" s="197"/>
      <c r="M14" s="121">
        <f>SUM(M10:M13)</f>
        <v>42737.539999999994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198">
        <f>IF('R&amp;P Accounts'!B12-'Additional notes (1)  '!C14=0,0,"reference error")</f>
        <v>0</v>
      </c>
      <c r="D16" s="198"/>
      <c r="E16" s="198">
        <f>IF('R&amp;P Accounts'!D12-'Additional notes (1)  '!E14=0,0,"reference error")</f>
        <v>0</v>
      </c>
      <c r="F16" s="198">
        <f>IF('R&amp;P Accounts'!E12-'Additional notes (1)  '!F14=0,0,"reference error")</f>
        <v>0</v>
      </c>
      <c r="G16" s="198">
        <f>IF('R&amp;P Accounts'!F12-'Additional notes (1)  '!G14=0,0,"reference error")</f>
        <v>0</v>
      </c>
      <c r="H16" s="198">
        <f>IF('R&amp;P Accounts'!G12-'Additional notes (1)  '!H14=0,0,"reference error")</f>
        <v>0</v>
      </c>
      <c r="I16" s="198">
        <f>IF('R&amp;P Accounts'!H12-'Additional notes (1)  '!I14=0,0,"reference error")</f>
        <v>0</v>
      </c>
      <c r="J16" s="198">
        <f>IF('R&amp;P Accounts'!I12-'Additional notes (1)  '!J14=0,0,"reference error")</f>
        <v>0</v>
      </c>
      <c r="K16" s="198">
        <f>IF('R&amp;P Accounts'!J12-'Additional notes (1)  '!K14=0,0,"reference error")</f>
        <v>0</v>
      </c>
      <c r="L16" s="198">
        <f>IF('R&amp;P Accounts'!K12-'Additional notes (1)  '!L14=0,0,"reference error")</f>
        <v>0</v>
      </c>
      <c r="M16" s="198">
        <f>IF('R&amp;P Accounts'!L12-'Additional notes (1)  '!M14=0,0,"reference error")</f>
        <v>0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25">
      <c r="A18" s="392" t="s">
        <v>118</v>
      </c>
      <c r="B18" s="392"/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</row>
    <row r="19" spans="1:13" ht="27.65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49999999999999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25">
      <c r="A21" s="211" t="s">
        <v>142</v>
      </c>
      <c r="B21" s="18"/>
      <c r="C21" s="214"/>
      <c r="D21" s="199"/>
      <c r="E21" s="214"/>
      <c r="F21" s="199"/>
      <c r="G21" s="199"/>
      <c r="H21" s="122"/>
      <c r="I21" s="199"/>
      <c r="J21" s="122"/>
      <c r="K21" s="214">
        <f t="shared" ref="K21:K46" si="0">SUM(C21:I21)</f>
        <v>0</v>
      </c>
      <c r="L21" s="119"/>
      <c r="M21" s="214">
        <v>0</v>
      </c>
    </row>
    <row r="22" spans="1:13" ht="20.149999999999999" customHeight="1" x14ac:dyDescent="0.25">
      <c r="A22" s="211" t="s">
        <v>156</v>
      </c>
      <c r="B22" s="18"/>
      <c r="C22" s="216"/>
      <c r="D22" s="199"/>
      <c r="E22" s="214"/>
      <c r="F22" s="199"/>
      <c r="G22" s="199"/>
      <c r="H22" s="122"/>
      <c r="I22" s="199"/>
      <c r="J22" s="122"/>
      <c r="K22" s="214">
        <f t="shared" si="0"/>
        <v>0</v>
      </c>
      <c r="L22" s="119"/>
      <c r="M22" s="214">
        <v>0</v>
      </c>
    </row>
    <row r="23" spans="1:13" ht="14" x14ac:dyDescent="0.25">
      <c r="A23" s="211" t="s">
        <v>157</v>
      </c>
      <c r="B23" s="18"/>
      <c r="C23" s="216"/>
      <c r="D23" s="199"/>
      <c r="E23" s="214"/>
      <c r="F23" s="199"/>
      <c r="G23" s="199"/>
      <c r="H23" s="122"/>
      <c r="I23" s="199"/>
      <c r="J23" s="122"/>
      <c r="K23" s="214">
        <f t="shared" si="0"/>
        <v>0</v>
      </c>
      <c r="L23" s="119"/>
      <c r="M23" s="214">
        <v>0</v>
      </c>
    </row>
    <row r="24" spans="1:13" ht="14" x14ac:dyDescent="0.3">
      <c r="A24" s="252" t="s">
        <v>158</v>
      </c>
      <c r="B24" s="18"/>
      <c r="C24" s="216"/>
      <c r="D24" s="199"/>
      <c r="E24" s="214"/>
      <c r="F24" s="199"/>
      <c r="G24" s="199"/>
      <c r="H24" s="122"/>
      <c r="I24" s="199"/>
      <c r="J24" s="122"/>
      <c r="K24" s="214">
        <f t="shared" si="0"/>
        <v>0</v>
      </c>
      <c r="L24" s="119"/>
      <c r="M24" s="214">
        <v>0</v>
      </c>
    </row>
    <row r="25" spans="1:13" ht="14" x14ac:dyDescent="0.3">
      <c r="A25" s="252" t="s">
        <v>176</v>
      </c>
      <c r="B25" s="18"/>
      <c r="C25" s="216"/>
      <c r="D25" s="199"/>
      <c r="E25" s="214"/>
      <c r="F25" s="199"/>
      <c r="G25" s="199"/>
      <c r="H25" s="122"/>
      <c r="I25" s="199"/>
      <c r="J25" s="122"/>
      <c r="K25" s="214">
        <f t="shared" si="0"/>
        <v>0</v>
      </c>
      <c r="L25" s="119"/>
      <c r="M25" s="123">
        <v>0</v>
      </c>
    </row>
    <row r="26" spans="1:13" ht="14" x14ac:dyDescent="0.3">
      <c r="A26" s="252" t="s">
        <v>177</v>
      </c>
      <c r="B26" s="18"/>
      <c r="C26" s="216"/>
      <c r="D26" s="199"/>
      <c r="E26" s="214"/>
      <c r="F26" s="199"/>
      <c r="G26" s="199"/>
      <c r="H26" s="122"/>
      <c r="I26" s="199"/>
      <c r="J26" s="122"/>
      <c r="K26" s="214">
        <f t="shared" si="0"/>
        <v>0</v>
      </c>
      <c r="L26" s="119"/>
      <c r="M26" s="123">
        <v>0</v>
      </c>
    </row>
    <row r="27" spans="1:13" ht="14" x14ac:dyDescent="0.3">
      <c r="A27" s="252" t="s">
        <v>167</v>
      </c>
      <c r="B27" s="18"/>
      <c r="C27" s="216"/>
      <c r="D27" s="199"/>
      <c r="E27" s="214"/>
      <c r="F27" s="199"/>
      <c r="G27" s="199"/>
      <c r="H27" s="122"/>
      <c r="I27" s="199"/>
      <c r="J27" s="122"/>
      <c r="K27" s="214">
        <f t="shared" si="0"/>
        <v>0</v>
      </c>
      <c r="L27" s="119"/>
      <c r="M27" s="123">
        <v>0</v>
      </c>
    </row>
    <row r="28" spans="1:13" ht="14" x14ac:dyDescent="0.3">
      <c r="A28" s="252" t="s">
        <v>168</v>
      </c>
      <c r="B28" s="18"/>
      <c r="C28" s="216"/>
      <c r="D28" s="199"/>
      <c r="E28" s="214"/>
      <c r="F28" s="199"/>
      <c r="G28" s="199"/>
      <c r="H28" s="122"/>
      <c r="I28" s="199"/>
      <c r="J28" s="122"/>
      <c r="K28" s="214">
        <f t="shared" si="0"/>
        <v>0</v>
      </c>
      <c r="L28" s="119"/>
      <c r="M28" s="123">
        <v>0</v>
      </c>
    </row>
    <row r="29" spans="1:13" ht="14" x14ac:dyDescent="0.3">
      <c r="A29" s="252" t="s">
        <v>169</v>
      </c>
      <c r="B29" s="18"/>
      <c r="C29" s="216"/>
      <c r="D29" s="199"/>
      <c r="E29" s="214"/>
      <c r="F29" s="199"/>
      <c r="G29" s="199"/>
      <c r="H29" s="122"/>
      <c r="I29" s="199"/>
      <c r="J29" s="122"/>
      <c r="K29" s="214">
        <f t="shared" si="0"/>
        <v>0</v>
      </c>
      <c r="L29" s="119"/>
      <c r="M29" s="123">
        <v>0</v>
      </c>
    </row>
    <row r="30" spans="1:13" ht="14" x14ac:dyDescent="0.3">
      <c r="A30" s="252" t="s">
        <v>170</v>
      </c>
      <c r="B30" s="18"/>
      <c r="C30" s="216"/>
      <c r="D30" s="199"/>
      <c r="E30" s="214"/>
      <c r="F30" s="199"/>
      <c r="G30" s="199"/>
      <c r="H30" s="122"/>
      <c r="I30" s="199"/>
      <c r="J30" s="122"/>
      <c r="K30" s="214">
        <f t="shared" si="0"/>
        <v>0</v>
      </c>
      <c r="L30" s="119"/>
      <c r="M30" s="123">
        <v>0</v>
      </c>
    </row>
    <row r="31" spans="1:13" ht="14" x14ac:dyDescent="0.3">
      <c r="A31" s="252" t="s">
        <v>183</v>
      </c>
      <c r="B31" s="18"/>
      <c r="C31" s="216"/>
      <c r="D31" s="199"/>
      <c r="E31" s="214"/>
      <c r="F31" s="199"/>
      <c r="G31" s="199"/>
      <c r="H31" s="122"/>
      <c r="I31" s="199"/>
      <c r="J31" s="122"/>
      <c r="K31" s="214">
        <f t="shared" si="0"/>
        <v>0</v>
      </c>
      <c r="L31" s="119"/>
      <c r="M31" s="123">
        <v>500</v>
      </c>
    </row>
    <row r="32" spans="1:13" ht="14" x14ac:dyDescent="0.3">
      <c r="A32" s="252" t="s">
        <v>187</v>
      </c>
      <c r="B32" s="18"/>
      <c r="C32" s="216"/>
      <c r="D32" s="199"/>
      <c r="E32" s="214"/>
      <c r="F32" s="199"/>
      <c r="G32" s="199"/>
      <c r="H32" s="122"/>
      <c r="I32" s="199"/>
      <c r="J32" s="122"/>
      <c r="K32" s="214">
        <f t="shared" si="0"/>
        <v>0</v>
      </c>
      <c r="L32" s="119"/>
      <c r="M32" s="123">
        <v>2500</v>
      </c>
    </row>
    <row r="33" spans="1:16" ht="14" x14ac:dyDescent="0.3">
      <c r="A33" s="252" t="s">
        <v>188</v>
      </c>
      <c r="B33" s="18"/>
      <c r="C33" s="216"/>
      <c r="D33" s="199"/>
      <c r="E33" s="214"/>
      <c r="F33" s="199"/>
      <c r="G33" s="199"/>
      <c r="H33" s="122"/>
      <c r="I33" s="199"/>
      <c r="J33" s="122"/>
      <c r="K33" s="214">
        <f t="shared" si="0"/>
        <v>0</v>
      </c>
      <c r="L33" s="119"/>
      <c r="M33" s="123">
        <v>202.5</v>
      </c>
    </row>
    <row r="34" spans="1:16" ht="14.25" customHeight="1" x14ac:dyDescent="0.3">
      <c r="A34" s="252" t="s">
        <v>184</v>
      </c>
      <c r="B34" s="18"/>
      <c r="C34" s="216"/>
      <c r="D34" s="199"/>
      <c r="E34" s="214">
        <v>1961.36</v>
      </c>
      <c r="F34" s="199"/>
      <c r="G34" s="199"/>
      <c r="H34" s="122"/>
      <c r="I34" s="199"/>
      <c r="J34" s="122"/>
      <c r="K34" s="214">
        <f t="shared" si="0"/>
        <v>1961.36</v>
      </c>
      <c r="L34" s="119"/>
      <c r="M34" s="123">
        <v>7845.44</v>
      </c>
    </row>
    <row r="35" spans="1:16" ht="14" x14ac:dyDescent="0.3">
      <c r="A35" s="252" t="s">
        <v>185</v>
      </c>
      <c r="B35" s="18"/>
      <c r="C35" s="216"/>
      <c r="D35" s="199"/>
      <c r="E35" s="214">
        <v>9000</v>
      </c>
      <c r="F35" s="199"/>
      <c r="G35" s="199"/>
      <c r="H35" s="122"/>
      <c r="I35" s="199"/>
      <c r="J35" s="122"/>
      <c r="K35" s="214">
        <f t="shared" si="0"/>
        <v>9000</v>
      </c>
      <c r="L35" s="119"/>
      <c r="M35" s="123">
        <v>9000</v>
      </c>
      <c r="P35" s="215"/>
    </row>
    <row r="36" spans="1:16" ht="14" x14ac:dyDescent="0.3">
      <c r="A36" s="252" t="s">
        <v>186</v>
      </c>
      <c r="B36" s="18"/>
      <c r="C36" s="216"/>
      <c r="D36" s="199"/>
      <c r="E36" s="214">
        <v>0</v>
      </c>
      <c r="F36" s="199"/>
      <c r="G36" s="199"/>
      <c r="H36" s="122"/>
      <c r="I36" s="199"/>
      <c r="J36" s="122"/>
      <c r="K36" s="214">
        <f t="shared" si="0"/>
        <v>0</v>
      </c>
      <c r="L36" s="119"/>
      <c r="M36" s="123">
        <v>960.96</v>
      </c>
    </row>
    <row r="37" spans="1:16" ht="14" x14ac:dyDescent="0.3">
      <c r="A37" s="252" t="s">
        <v>199</v>
      </c>
      <c r="B37" s="18"/>
      <c r="C37" s="216"/>
      <c r="D37" s="199"/>
      <c r="E37" s="214">
        <v>2500</v>
      </c>
      <c r="F37" s="199"/>
      <c r="G37" s="199"/>
      <c r="H37" s="122"/>
      <c r="I37" s="199"/>
      <c r="J37" s="122"/>
      <c r="K37" s="214">
        <f t="shared" si="0"/>
        <v>2500</v>
      </c>
      <c r="L37" s="119"/>
      <c r="M37" s="123">
        <v>0</v>
      </c>
    </row>
    <row r="38" spans="1:16" ht="14" x14ac:dyDescent="0.3">
      <c r="A38" s="252" t="s">
        <v>200</v>
      </c>
      <c r="B38" s="18"/>
      <c r="C38" s="216"/>
      <c r="D38" s="199"/>
      <c r="E38" s="214">
        <v>800</v>
      </c>
      <c r="F38" s="199"/>
      <c r="G38" s="199"/>
      <c r="H38" s="122"/>
      <c r="I38" s="199"/>
      <c r="J38" s="122"/>
      <c r="K38" s="214">
        <f t="shared" si="0"/>
        <v>800</v>
      </c>
      <c r="L38" s="119"/>
      <c r="M38" s="123">
        <v>0</v>
      </c>
    </row>
    <row r="39" spans="1:16" ht="14" x14ac:dyDescent="0.3">
      <c r="A39" s="252" t="s">
        <v>206</v>
      </c>
      <c r="B39" s="18"/>
      <c r="C39" s="216"/>
      <c r="D39" s="199"/>
      <c r="E39" s="214">
        <v>1635.72</v>
      </c>
      <c r="F39" s="199"/>
      <c r="G39" s="199"/>
      <c r="H39" s="122"/>
      <c r="I39" s="199"/>
      <c r="J39" s="122"/>
      <c r="K39" s="214">
        <f t="shared" si="0"/>
        <v>1635.72</v>
      </c>
      <c r="L39" s="119"/>
      <c r="M39" s="123"/>
    </row>
    <row r="40" spans="1:16" ht="14" x14ac:dyDescent="0.3">
      <c r="A40" s="252"/>
      <c r="B40" s="18"/>
      <c r="C40" s="216"/>
      <c r="D40" s="199"/>
      <c r="E40" s="214"/>
      <c r="F40" s="199"/>
      <c r="G40" s="199"/>
      <c r="H40" s="122"/>
      <c r="I40" s="199"/>
      <c r="J40" s="122"/>
      <c r="K40" s="214"/>
      <c r="L40" s="119"/>
      <c r="M40" s="123"/>
    </row>
    <row r="41" spans="1:16" ht="14" x14ac:dyDescent="0.3">
      <c r="A41" s="252"/>
      <c r="B41" s="18"/>
      <c r="C41" s="216"/>
      <c r="D41" s="199"/>
      <c r="E41" s="214"/>
      <c r="F41" s="199"/>
      <c r="G41" s="199"/>
      <c r="H41" s="122"/>
      <c r="I41" s="199"/>
      <c r="J41" s="122"/>
      <c r="K41" s="214"/>
      <c r="L41" s="119"/>
      <c r="M41" s="123"/>
    </row>
    <row r="42" spans="1:16" ht="14" x14ac:dyDescent="0.3">
      <c r="A42" s="252"/>
      <c r="B42" s="18"/>
      <c r="C42" s="216"/>
      <c r="D42" s="199"/>
      <c r="E42" s="214"/>
      <c r="F42" s="199"/>
      <c r="G42" s="199"/>
      <c r="H42" s="122"/>
      <c r="I42" s="199"/>
      <c r="J42" s="122"/>
      <c r="K42" s="214"/>
      <c r="L42" s="119"/>
      <c r="M42" s="123"/>
    </row>
    <row r="43" spans="1:16" ht="14" x14ac:dyDescent="0.3">
      <c r="A43" s="252"/>
      <c r="B43" s="18"/>
      <c r="C43" s="216"/>
      <c r="D43" s="199"/>
      <c r="E43" s="214"/>
      <c r="F43" s="199"/>
      <c r="G43" s="199"/>
      <c r="H43" s="122"/>
      <c r="I43" s="199"/>
      <c r="J43" s="122"/>
      <c r="K43" s="214"/>
      <c r="L43" s="119"/>
      <c r="M43" s="123"/>
    </row>
    <row r="44" spans="1:16" ht="14" x14ac:dyDescent="0.3">
      <c r="A44" s="252"/>
      <c r="B44" s="18"/>
      <c r="C44" s="216"/>
      <c r="D44" s="199"/>
      <c r="E44" s="214"/>
      <c r="F44" s="199"/>
      <c r="G44" s="199"/>
      <c r="H44" s="122"/>
      <c r="I44" s="199"/>
      <c r="J44" s="122"/>
      <c r="K44" s="214"/>
      <c r="L44" s="119"/>
      <c r="M44" s="123"/>
    </row>
    <row r="45" spans="1:16" ht="14" x14ac:dyDescent="0.3">
      <c r="A45" s="252"/>
      <c r="B45" s="18"/>
      <c r="C45" s="216"/>
      <c r="D45" s="199"/>
      <c r="E45" s="214"/>
      <c r="F45" s="199"/>
      <c r="G45" s="199"/>
      <c r="H45" s="122"/>
      <c r="I45" s="199"/>
      <c r="J45" s="122"/>
      <c r="K45" s="214"/>
      <c r="L45" s="119"/>
      <c r="M45" s="123"/>
    </row>
    <row r="46" spans="1:16" ht="20.149999999999999" customHeight="1" x14ac:dyDescent="0.3">
      <c r="A46" s="99"/>
      <c r="B46" s="93"/>
      <c r="C46" s="120"/>
      <c r="D46" s="119"/>
      <c r="E46" s="118"/>
      <c r="F46" s="119"/>
      <c r="G46" s="119"/>
      <c r="H46" s="119"/>
      <c r="I46" s="119"/>
      <c r="J46" s="119"/>
      <c r="K46" s="118">
        <f t="shared" si="0"/>
        <v>0</v>
      </c>
      <c r="L46" s="391"/>
      <c r="M46" s="123"/>
    </row>
    <row r="47" spans="1:16" ht="20.149999999999999" customHeight="1" thickBot="1" x14ac:dyDescent="0.3">
      <c r="A47" s="95" t="s">
        <v>84</v>
      </c>
      <c r="B47" s="95"/>
      <c r="C47" s="121">
        <f>SUM(C21:C46)</f>
        <v>0</v>
      </c>
      <c r="D47" s="119"/>
      <c r="E47" s="121">
        <f>SUM(E21:E46)</f>
        <v>15897.08</v>
      </c>
      <c r="F47" s="119"/>
      <c r="G47" s="199"/>
      <c r="H47" s="199"/>
      <c r="I47" s="199"/>
      <c r="J47" s="119"/>
      <c r="K47" s="121">
        <f>SUM(K21:K46)</f>
        <v>15897.08</v>
      </c>
      <c r="L47" s="391"/>
      <c r="M47" s="121">
        <f>SUM(M21:M46)</f>
        <v>21008.899999999998</v>
      </c>
    </row>
    <row r="48" spans="1:16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  <row r="49" spans="1:19" ht="13.5" customHeight="1" x14ac:dyDescent="0.25">
      <c r="A49" s="60"/>
      <c r="B49" s="60"/>
      <c r="C49" s="198">
        <f>IF('R&amp;P Accounts'!B14-'Additional notes (1)  '!C47=0,0,"reference error")</f>
        <v>0</v>
      </c>
      <c r="D49" s="198"/>
      <c r="E49" s="198">
        <f>E47-'R&amp;P Accounts'!D14</f>
        <v>0</v>
      </c>
      <c r="F49" s="198">
        <f>IF('R&amp;P Accounts'!E14-'Additional notes (1)  '!F47=0,0,"reference error")</f>
        <v>0</v>
      </c>
      <c r="G49" s="198"/>
      <c r="H49" s="198"/>
      <c r="I49" s="198"/>
      <c r="J49" s="198">
        <f>IF('R&amp;P Accounts'!I14-'Additional notes (1)  '!J47=0,0,"reference error")</f>
        <v>0</v>
      </c>
      <c r="K49" s="198"/>
      <c r="L49" s="198">
        <f>IF('R&amp;P Accounts'!K14-'Additional notes (1)  '!L47=0,0,"reference error")</f>
        <v>0</v>
      </c>
      <c r="M49" s="198"/>
    </row>
    <row r="50" spans="1:19" ht="11.25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  <row r="51" spans="1:19" ht="20.149999999999999" customHeight="1" x14ac:dyDescent="0.25">
      <c r="A51" s="392" t="s">
        <v>116</v>
      </c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</row>
    <row r="52" spans="1:19" ht="40.5" customHeight="1" x14ac:dyDescent="0.25">
      <c r="C52" s="72" t="s">
        <v>2</v>
      </c>
      <c r="D52" s="15"/>
      <c r="E52" s="72" t="s">
        <v>3</v>
      </c>
      <c r="F52" s="82"/>
      <c r="G52" s="72" t="s">
        <v>80</v>
      </c>
      <c r="H52" s="82"/>
      <c r="I52" s="72" t="s">
        <v>82</v>
      </c>
      <c r="J52" s="82"/>
      <c r="K52" s="72" t="s">
        <v>76</v>
      </c>
      <c r="L52" s="82"/>
      <c r="M52" s="72" t="s">
        <v>77</v>
      </c>
    </row>
    <row r="53" spans="1:19" ht="20.149999999999999" customHeight="1" x14ac:dyDescent="0.25">
      <c r="A53" s="69"/>
      <c r="B53" s="69"/>
      <c r="C53" s="17"/>
      <c r="E53" s="17" t="s">
        <v>4</v>
      </c>
      <c r="F53" s="12"/>
      <c r="G53" s="17" t="s">
        <v>4</v>
      </c>
      <c r="H53" s="12"/>
      <c r="I53" s="17" t="s">
        <v>4</v>
      </c>
      <c r="J53" s="12"/>
      <c r="K53" s="17" t="s">
        <v>4</v>
      </c>
      <c r="L53" s="12"/>
      <c r="M53" s="17" t="s">
        <v>4</v>
      </c>
    </row>
    <row r="54" spans="1:19" ht="16.5" customHeight="1" x14ac:dyDescent="0.25">
      <c r="A54" s="98" t="s">
        <v>181</v>
      </c>
      <c r="B54" s="18"/>
      <c r="C54" s="214">
        <v>9708.15</v>
      </c>
      <c r="D54" s="119"/>
      <c r="E54" s="118"/>
      <c r="F54" s="119"/>
      <c r="G54" s="118"/>
      <c r="H54" s="122"/>
      <c r="I54" s="118"/>
      <c r="J54" s="122"/>
      <c r="K54" s="118">
        <f t="shared" ref="K54:K59" si="1">SUM(C54:I54)</f>
        <v>9708.15</v>
      </c>
      <c r="L54" s="119"/>
      <c r="M54" s="118">
        <v>9231.7099999999991</v>
      </c>
      <c r="S54" s="253"/>
    </row>
    <row r="55" spans="1:19" ht="16.5" customHeight="1" x14ac:dyDescent="0.25">
      <c r="A55" s="98" t="s">
        <v>131</v>
      </c>
      <c r="B55" s="18"/>
      <c r="C55" s="214">
        <v>3270.9</v>
      </c>
      <c r="D55" s="119"/>
      <c r="E55" s="118"/>
      <c r="F55" s="119"/>
      <c r="G55" s="118"/>
      <c r="H55" s="122"/>
      <c r="I55" s="118"/>
      <c r="J55" s="122"/>
      <c r="K55" s="118">
        <f t="shared" si="1"/>
        <v>3270.9</v>
      </c>
      <c r="L55" s="119"/>
      <c r="M55" s="118">
        <v>4720</v>
      </c>
      <c r="S55" s="253"/>
    </row>
    <row r="56" spans="1:19" ht="16.5" customHeight="1" x14ac:dyDescent="0.25">
      <c r="A56" s="98" t="s">
        <v>132</v>
      </c>
      <c r="B56" s="18"/>
      <c r="C56" s="214">
        <v>1293.9100000000001</v>
      </c>
      <c r="D56" s="119"/>
      <c r="E56" s="118"/>
      <c r="F56" s="119"/>
      <c r="G56" s="118"/>
      <c r="H56" s="122"/>
      <c r="I56" s="118"/>
      <c r="J56" s="122"/>
      <c r="K56" s="118">
        <f t="shared" si="1"/>
        <v>1293.9100000000001</v>
      </c>
      <c r="L56" s="119"/>
      <c r="M56" s="118">
        <v>1360</v>
      </c>
      <c r="S56" s="253"/>
    </row>
    <row r="57" spans="1:19" ht="16.5" customHeight="1" x14ac:dyDescent="0.25">
      <c r="A57" s="98" t="s">
        <v>133</v>
      </c>
      <c r="B57" s="18"/>
      <c r="C57" s="214">
        <v>4768.93</v>
      </c>
      <c r="D57" s="119"/>
      <c r="E57" s="118"/>
      <c r="F57" s="119"/>
      <c r="G57" s="118"/>
      <c r="H57" s="122"/>
      <c r="I57" s="118"/>
      <c r="J57" s="122"/>
      <c r="K57" s="118">
        <f t="shared" si="1"/>
        <v>4768.93</v>
      </c>
      <c r="L57" s="119"/>
      <c r="M57" s="118">
        <v>2293.7600000000002</v>
      </c>
      <c r="S57" s="253"/>
    </row>
    <row r="58" spans="1:19" ht="16.5" customHeight="1" x14ac:dyDescent="0.3">
      <c r="A58" s="211" t="s">
        <v>161</v>
      </c>
      <c r="B58" s="18"/>
      <c r="C58" s="214">
        <v>178</v>
      </c>
      <c r="D58" s="119"/>
      <c r="E58" s="118"/>
      <c r="F58" s="119"/>
      <c r="G58" s="118"/>
      <c r="H58" s="122"/>
      <c r="I58" s="118"/>
      <c r="J58" s="122"/>
      <c r="K58" s="118">
        <f t="shared" si="1"/>
        <v>178</v>
      </c>
      <c r="L58" s="119"/>
      <c r="M58" s="123">
        <v>2287</v>
      </c>
      <c r="S58" s="253"/>
    </row>
    <row r="59" spans="1:19" ht="16.5" customHeight="1" x14ac:dyDescent="0.3">
      <c r="A59" s="211"/>
      <c r="B59" s="18"/>
      <c r="C59" s="214"/>
      <c r="D59" s="119"/>
      <c r="E59" s="118"/>
      <c r="F59" s="119"/>
      <c r="G59" s="118"/>
      <c r="H59" s="122"/>
      <c r="I59" s="118"/>
      <c r="J59" s="122"/>
      <c r="K59" s="118">
        <f t="shared" si="1"/>
        <v>0</v>
      </c>
      <c r="L59" s="119"/>
      <c r="M59" s="123">
        <v>0</v>
      </c>
    </row>
    <row r="60" spans="1:19" ht="16.5" customHeight="1" x14ac:dyDescent="0.3">
      <c r="A60" s="211"/>
      <c r="B60" s="18"/>
      <c r="C60" s="214"/>
      <c r="D60" s="119"/>
      <c r="E60" s="118"/>
      <c r="F60" s="119"/>
      <c r="G60" s="118"/>
      <c r="H60" s="122"/>
      <c r="I60" s="118"/>
      <c r="J60" s="122"/>
      <c r="K60" s="118">
        <f t="shared" ref="K60:K66" si="2">SUM(C60:I60)</f>
        <v>0</v>
      </c>
      <c r="L60" s="119"/>
      <c r="M60" s="123">
        <v>0</v>
      </c>
    </row>
    <row r="61" spans="1:19" ht="16.5" customHeight="1" x14ac:dyDescent="0.3">
      <c r="A61" s="211"/>
      <c r="B61" s="18"/>
      <c r="C61" s="118"/>
      <c r="D61" s="119"/>
      <c r="E61" s="118"/>
      <c r="F61" s="119"/>
      <c r="G61" s="118"/>
      <c r="H61" s="122"/>
      <c r="I61" s="118"/>
      <c r="J61" s="122"/>
      <c r="K61" s="118">
        <f t="shared" si="2"/>
        <v>0</v>
      </c>
      <c r="L61" s="119"/>
      <c r="M61" s="123">
        <v>0</v>
      </c>
      <c r="S61" s="204"/>
    </row>
    <row r="62" spans="1:19" ht="16.5" customHeight="1" x14ac:dyDescent="0.3">
      <c r="A62" s="98"/>
      <c r="B62" s="18"/>
      <c r="C62" s="118"/>
      <c r="D62" s="119"/>
      <c r="E62" s="118"/>
      <c r="F62" s="119"/>
      <c r="G62" s="118"/>
      <c r="H62" s="122"/>
      <c r="I62" s="118"/>
      <c r="J62" s="122"/>
      <c r="K62" s="118">
        <f t="shared" si="2"/>
        <v>0</v>
      </c>
      <c r="L62" s="119"/>
      <c r="M62" s="123">
        <v>0</v>
      </c>
    </row>
    <row r="63" spans="1:19" ht="16.5" customHeight="1" x14ac:dyDescent="0.3">
      <c r="A63" s="98"/>
      <c r="B63" s="18"/>
      <c r="C63" s="124"/>
      <c r="D63" s="122"/>
      <c r="E63" s="124"/>
      <c r="F63" s="122"/>
      <c r="G63" s="124"/>
      <c r="H63" s="122"/>
      <c r="I63" s="124"/>
      <c r="J63" s="122"/>
      <c r="K63" s="118">
        <f t="shared" si="2"/>
        <v>0</v>
      </c>
      <c r="L63" s="122"/>
      <c r="M63" s="123">
        <v>0</v>
      </c>
    </row>
    <row r="64" spans="1:19" ht="16.5" customHeight="1" x14ac:dyDescent="0.3">
      <c r="A64" s="98"/>
      <c r="B64" s="18"/>
      <c r="C64" s="124"/>
      <c r="D64" s="122"/>
      <c r="E64" s="124"/>
      <c r="F64" s="122"/>
      <c r="G64" s="124"/>
      <c r="H64" s="122"/>
      <c r="I64" s="124"/>
      <c r="J64" s="122"/>
      <c r="K64" s="118">
        <f t="shared" si="2"/>
        <v>0</v>
      </c>
      <c r="L64" s="122"/>
      <c r="M64" s="123">
        <v>0</v>
      </c>
    </row>
    <row r="65" spans="1:17" ht="16.5" customHeight="1" x14ac:dyDescent="0.3">
      <c r="A65" s="98"/>
      <c r="B65" s="18"/>
      <c r="C65" s="124"/>
      <c r="D65" s="122"/>
      <c r="E65" s="124"/>
      <c r="F65" s="122"/>
      <c r="G65" s="124"/>
      <c r="H65" s="122"/>
      <c r="I65" s="124"/>
      <c r="J65" s="122"/>
      <c r="K65" s="118">
        <f t="shared" si="2"/>
        <v>0</v>
      </c>
      <c r="L65" s="122"/>
      <c r="M65" s="123">
        <v>0</v>
      </c>
    </row>
    <row r="66" spans="1:17" ht="16.5" customHeight="1" x14ac:dyDescent="0.3">
      <c r="A66" s="99"/>
      <c r="B66" s="93"/>
      <c r="C66" s="120"/>
      <c r="D66" s="119"/>
      <c r="E66" s="118"/>
      <c r="F66" s="119"/>
      <c r="G66" s="118"/>
      <c r="H66" s="119"/>
      <c r="I66" s="118"/>
      <c r="J66" s="119"/>
      <c r="K66" s="118">
        <f t="shared" si="2"/>
        <v>0</v>
      </c>
      <c r="L66" s="391"/>
      <c r="M66" s="123">
        <v>0</v>
      </c>
      <c r="Q66" s="54"/>
    </row>
    <row r="67" spans="1:17" ht="20.25" customHeight="1" thickBot="1" x14ac:dyDescent="0.3">
      <c r="A67" s="95" t="s">
        <v>84</v>
      </c>
      <c r="B67" s="95"/>
      <c r="C67" s="121">
        <f>SUM(C54:C66)</f>
        <v>19219.89</v>
      </c>
      <c r="D67" s="119"/>
      <c r="E67" s="121">
        <f>SUM(E54:E66)</f>
        <v>0</v>
      </c>
      <c r="F67" s="119"/>
      <c r="G67" s="121">
        <f>SUM(G54:G66)</f>
        <v>0</v>
      </c>
      <c r="H67" s="119"/>
      <c r="I67" s="121">
        <f>SUM(I54:I66)</f>
        <v>0</v>
      </c>
      <c r="J67" s="119"/>
      <c r="K67" s="121">
        <f>SUM(K54:K66)</f>
        <v>19219.89</v>
      </c>
      <c r="L67" s="391"/>
      <c r="M67" s="121">
        <f>SUM(M54:M66)</f>
        <v>19892.47</v>
      </c>
      <c r="P67" s="204"/>
      <c r="Q67" s="54"/>
    </row>
    <row r="68" spans="1:17" ht="10.5" customHeight="1" x14ac:dyDescent="0.25">
      <c r="A68" s="95"/>
      <c r="B68" s="95"/>
      <c r="C68" s="116"/>
      <c r="D68" s="92"/>
      <c r="E68" s="116"/>
      <c r="F68" s="92"/>
      <c r="G68" s="116"/>
      <c r="H68" s="92"/>
      <c r="I68" s="116"/>
      <c r="J68" s="92"/>
      <c r="K68" s="116"/>
      <c r="L68" s="94"/>
      <c r="M68" s="116"/>
    </row>
    <row r="69" spans="1:17" ht="12.75" customHeight="1" x14ac:dyDescent="0.25">
      <c r="A69" s="243"/>
      <c r="B69" s="12"/>
      <c r="C69" s="58"/>
      <c r="D69" s="12"/>
      <c r="E69" s="58">
        <f>IF(E67-'R&amp;P Accounts'!D19=0,0,"reference error")</f>
        <v>0</v>
      </c>
      <c r="F69" s="58"/>
      <c r="G69" s="58">
        <f>IF(G67-'R&amp;P Accounts'!F19=0,0,"reference error")</f>
        <v>0</v>
      </c>
      <c r="H69" s="58"/>
      <c r="I69" s="58">
        <f>IF(I67-'R&amp;P Accounts'!H19=0,0,"reference error")</f>
        <v>0</v>
      </c>
      <c r="J69" s="58"/>
      <c r="K69" s="58"/>
      <c r="L69" s="58"/>
      <c r="M69" s="268"/>
    </row>
    <row r="70" spans="1:17" ht="12.75" customHeight="1" x14ac:dyDescent="0.25">
      <c r="A70" s="12"/>
      <c r="B70" s="12"/>
      <c r="C70" s="58"/>
      <c r="D70" s="12"/>
      <c r="E70" s="58"/>
      <c r="F70" s="58"/>
      <c r="G70" s="58"/>
      <c r="H70" s="58"/>
      <c r="I70" s="58"/>
      <c r="J70" s="58"/>
      <c r="K70" s="58"/>
      <c r="L70" s="58"/>
      <c r="M70" s="58"/>
    </row>
    <row r="71" spans="1:17" ht="19.5" customHeight="1" x14ac:dyDescent="0.35">
      <c r="A71" s="389" t="s">
        <v>115</v>
      </c>
      <c r="B71" s="389"/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</row>
    <row r="72" spans="1:17" ht="40.5" customHeight="1" x14ac:dyDescent="0.25">
      <c r="C72" s="72" t="s">
        <v>2</v>
      </c>
      <c r="D72" s="15"/>
      <c r="E72" s="72" t="s">
        <v>3</v>
      </c>
      <c r="F72" s="82"/>
      <c r="G72" s="72" t="s">
        <v>80</v>
      </c>
      <c r="H72" s="82"/>
      <c r="I72" s="72" t="s">
        <v>82</v>
      </c>
      <c r="J72" s="82"/>
      <c r="K72" s="72" t="s">
        <v>76</v>
      </c>
      <c r="L72" s="82"/>
      <c r="M72" s="72" t="s">
        <v>77</v>
      </c>
    </row>
    <row r="73" spans="1:17" ht="20.149999999999999" customHeight="1" x14ac:dyDescent="0.25">
      <c r="A73" s="69"/>
      <c r="B73" s="69"/>
      <c r="C73" s="17" t="s">
        <v>4</v>
      </c>
      <c r="E73" s="17" t="s">
        <v>4</v>
      </c>
      <c r="F73" s="12"/>
      <c r="G73" s="17" t="s">
        <v>4</v>
      </c>
      <c r="H73" s="12"/>
      <c r="I73" s="17" t="s">
        <v>4</v>
      </c>
      <c r="J73" s="12"/>
      <c r="K73" s="17" t="s">
        <v>4</v>
      </c>
      <c r="L73" s="12"/>
      <c r="M73" s="17" t="s">
        <v>4</v>
      </c>
    </row>
    <row r="74" spans="1:17" ht="16.5" customHeight="1" x14ac:dyDescent="0.25">
      <c r="A74" s="98" t="s">
        <v>134</v>
      </c>
      <c r="B74" s="18"/>
      <c r="C74" s="232">
        <f>4662.5+18891.32-E74</f>
        <v>17222.16</v>
      </c>
      <c r="D74" s="271"/>
      <c r="E74" s="232">
        <f>6200+131.66</f>
        <v>6331.66</v>
      </c>
      <c r="F74" s="126"/>
      <c r="G74" s="125"/>
      <c r="H74" s="128"/>
      <c r="I74" s="125"/>
      <c r="J74" s="128"/>
      <c r="K74" s="125">
        <f>C74+E74+G74+I74</f>
        <v>23553.82</v>
      </c>
      <c r="L74" s="126"/>
      <c r="M74" s="125">
        <v>28268</v>
      </c>
    </row>
    <row r="75" spans="1:17" ht="16.5" customHeight="1" x14ac:dyDescent="0.3">
      <c r="A75" s="98" t="s">
        <v>132</v>
      </c>
      <c r="B75" s="18"/>
      <c r="C75" s="272">
        <f>3621.18-E75</f>
        <v>1941.4499999999998</v>
      </c>
      <c r="D75" s="271"/>
      <c r="E75" s="232">
        <v>1679.73</v>
      </c>
      <c r="F75" s="126"/>
      <c r="G75" s="125"/>
      <c r="H75" s="128"/>
      <c r="I75" s="125"/>
      <c r="J75" s="128"/>
      <c r="K75" s="125">
        <f t="shared" ref="K75:K83" si="3">C75+E75+G75+I75</f>
        <v>3621.18</v>
      </c>
      <c r="L75" s="126"/>
      <c r="M75" s="125">
        <v>1580.06</v>
      </c>
    </row>
    <row r="76" spans="1:17" ht="16.5" customHeight="1" x14ac:dyDescent="0.3">
      <c r="A76" s="98" t="s">
        <v>135</v>
      </c>
      <c r="B76" s="18"/>
      <c r="C76" s="272">
        <f>10832.3-E76</f>
        <v>8880.2999999999993</v>
      </c>
      <c r="D76" s="232">
        <f>10017.53-E76</f>
        <v>8065.5300000000007</v>
      </c>
      <c r="E76" s="232">
        <f>1780+172</f>
        <v>1952</v>
      </c>
      <c r="F76" s="126"/>
      <c r="G76" s="125"/>
      <c r="H76" s="128"/>
      <c r="I76" s="125"/>
      <c r="J76" s="128"/>
      <c r="K76" s="125">
        <f t="shared" si="3"/>
        <v>10832.3</v>
      </c>
      <c r="L76" s="126"/>
      <c r="M76" s="125">
        <v>12141.49</v>
      </c>
    </row>
    <row r="77" spans="1:17" ht="16.5" customHeight="1" x14ac:dyDescent="0.3">
      <c r="A77" s="98" t="s">
        <v>136</v>
      </c>
      <c r="B77" s="18"/>
      <c r="C77" s="272">
        <f>7441.87-E77</f>
        <v>5502.6</v>
      </c>
      <c r="D77" s="232">
        <f>6336.74</f>
        <v>6336.74</v>
      </c>
      <c r="E77" s="232">
        <v>1939.27</v>
      </c>
      <c r="F77" s="126"/>
      <c r="G77" s="125"/>
      <c r="H77" s="128"/>
      <c r="I77" s="125"/>
      <c r="J77" s="128"/>
      <c r="K77" s="125">
        <f t="shared" si="3"/>
        <v>7441.8700000000008</v>
      </c>
      <c r="L77" s="126"/>
      <c r="M77" s="125">
        <v>6175.32</v>
      </c>
    </row>
    <row r="78" spans="1:17" ht="16.5" customHeight="1" x14ac:dyDescent="0.3">
      <c r="A78" s="98" t="s">
        <v>137</v>
      </c>
      <c r="B78" s="18"/>
      <c r="C78" s="272">
        <f>12084.73-E78-780</f>
        <v>10886.25</v>
      </c>
      <c r="D78" s="130">
        <f>614.84+370.38+649.85+101.4+244.8+1680.45+2275.5+1044.99+239.48+3.36-144-0.29</f>
        <v>7080.7599999999993</v>
      </c>
      <c r="E78" s="130">
        <f>50+222.11+146.37</f>
        <v>418.48</v>
      </c>
      <c r="F78" s="128"/>
      <c r="G78" s="130"/>
      <c r="H78" s="128"/>
      <c r="I78" s="130"/>
      <c r="J78" s="128"/>
      <c r="K78" s="125">
        <f t="shared" si="3"/>
        <v>11304.73</v>
      </c>
      <c r="L78" s="128"/>
      <c r="M78" s="125">
        <v>10313.25</v>
      </c>
    </row>
    <row r="79" spans="1:17" ht="16.5" customHeight="1" x14ac:dyDescent="0.25">
      <c r="A79" s="98" t="s">
        <v>138</v>
      </c>
      <c r="B79" s="18"/>
      <c r="C79" s="232">
        <f>1803.59-E79+2539.74</f>
        <v>3225</v>
      </c>
      <c r="D79" s="128"/>
      <c r="E79" s="130">
        <f>1118.33</f>
        <v>1118.33</v>
      </c>
      <c r="F79" s="128"/>
      <c r="G79" s="130"/>
      <c r="H79" s="128"/>
      <c r="I79" s="130"/>
      <c r="J79" s="128"/>
      <c r="K79" s="125">
        <f t="shared" si="3"/>
        <v>4343.33</v>
      </c>
      <c r="L79" s="128"/>
      <c r="M79" s="125">
        <v>5446.45</v>
      </c>
    </row>
    <row r="80" spans="1:17" ht="16.5" customHeight="1" x14ac:dyDescent="0.25">
      <c r="A80" s="98" t="s">
        <v>182</v>
      </c>
      <c r="B80" s="18"/>
      <c r="C80" s="130">
        <v>3323.5</v>
      </c>
      <c r="D80" s="128"/>
      <c r="E80" s="130"/>
      <c r="F80" s="128"/>
      <c r="G80" s="130"/>
      <c r="H80" s="128"/>
      <c r="I80" s="130"/>
      <c r="J80" s="128"/>
      <c r="K80" s="125">
        <f t="shared" si="3"/>
        <v>3323.5</v>
      </c>
      <c r="L80" s="128"/>
      <c r="M80" s="125">
        <v>3322</v>
      </c>
    </row>
    <row r="81" spans="1:13" ht="16.5" customHeight="1" x14ac:dyDescent="0.3">
      <c r="A81" s="98" t="s">
        <v>164</v>
      </c>
      <c r="B81" s="18"/>
      <c r="C81" s="130">
        <f>1888-E81</f>
        <v>0</v>
      </c>
      <c r="D81" s="128"/>
      <c r="E81" s="130">
        <v>1888</v>
      </c>
      <c r="F81" s="128"/>
      <c r="G81" s="130"/>
      <c r="H81" s="128"/>
      <c r="I81" s="130"/>
      <c r="J81" s="128"/>
      <c r="K81" s="125">
        <f t="shared" si="3"/>
        <v>1888</v>
      </c>
      <c r="L81" s="128"/>
      <c r="M81" s="129">
        <v>2494</v>
      </c>
    </row>
    <row r="82" spans="1:13" ht="16.5" customHeight="1" x14ac:dyDescent="0.3">
      <c r="A82" s="98" t="s">
        <v>162</v>
      </c>
      <c r="B82" s="18"/>
      <c r="C82" s="232">
        <f>13919.51-E82</f>
        <v>4680.0599999999995</v>
      </c>
      <c r="D82" s="128"/>
      <c r="E82" s="130">
        <v>9239.4500000000007</v>
      </c>
      <c r="F82" s="128"/>
      <c r="G82" s="130"/>
      <c r="H82" s="128"/>
      <c r="I82" s="130"/>
      <c r="J82" s="128"/>
      <c r="K82" s="125">
        <f t="shared" si="3"/>
        <v>13919.51</v>
      </c>
      <c r="L82" s="128"/>
      <c r="M82" s="129">
        <v>10597.01</v>
      </c>
    </row>
    <row r="83" spans="1:13" ht="16.5" customHeight="1" x14ac:dyDescent="0.3">
      <c r="A83" s="86"/>
      <c r="B83" s="93"/>
      <c r="C83" s="273"/>
      <c r="D83" s="271"/>
      <c r="E83" s="232"/>
      <c r="F83" s="126"/>
      <c r="G83" s="125"/>
      <c r="H83" s="126"/>
      <c r="I83" s="125"/>
      <c r="J83" s="126"/>
      <c r="K83" s="125">
        <f t="shared" si="3"/>
        <v>0</v>
      </c>
      <c r="L83" s="390"/>
      <c r="M83" s="242">
        <v>0</v>
      </c>
    </row>
    <row r="84" spans="1:13" ht="20.149999999999999" customHeight="1" thickBot="1" x14ac:dyDescent="0.3">
      <c r="A84" s="95" t="s">
        <v>84</v>
      </c>
      <c r="B84" s="95"/>
      <c r="C84" s="127">
        <f>SUM(C74:C83)</f>
        <v>55661.32</v>
      </c>
      <c r="D84" s="126"/>
      <c r="E84" s="127">
        <f>SUM(E74:E83)</f>
        <v>24566.92</v>
      </c>
      <c r="F84" s="126"/>
      <c r="G84" s="127">
        <f>SUM(G74:G83)</f>
        <v>0</v>
      </c>
      <c r="H84" s="126"/>
      <c r="I84" s="127">
        <f>SUM(I74:I83)</f>
        <v>0</v>
      </c>
      <c r="J84" s="126"/>
      <c r="K84" s="127">
        <f>SUM(K74:K83)</f>
        <v>80228.240000000005</v>
      </c>
      <c r="L84" s="390"/>
      <c r="M84" s="127">
        <f>SUM(M74:M83)</f>
        <v>80337.58</v>
      </c>
    </row>
    <row r="85" spans="1:13" ht="9" customHeight="1" x14ac:dyDescent="0.25">
      <c r="A85" s="95"/>
      <c r="B85" s="95"/>
      <c r="C85" s="117"/>
      <c r="D85" s="100"/>
      <c r="E85" s="117"/>
      <c r="F85" s="100"/>
      <c r="G85" s="117"/>
      <c r="H85" s="100"/>
      <c r="I85" s="117"/>
      <c r="J85" s="100"/>
      <c r="K85" s="117"/>
      <c r="L85" s="103"/>
      <c r="M85" s="117"/>
    </row>
    <row r="86" spans="1:13" ht="11.25" customHeight="1" x14ac:dyDescent="0.25">
      <c r="A86" s="70"/>
      <c r="B86" s="70"/>
      <c r="C86" s="58"/>
      <c r="D86" s="38"/>
      <c r="E86" s="58">
        <f>IF(E84-'R&amp;P Accounts'!D34=0,0,"reference error")</f>
        <v>0</v>
      </c>
      <c r="F86" s="58"/>
      <c r="G86" s="58">
        <f>IF(G84-'R&amp;P Accounts'!F34=0,0,"reference error")</f>
        <v>0</v>
      </c>
      <c r="H86" s="58"/>
      <c r="I86" s="58">
        <f>IF(I84-'R&amp;P Accounts'!H34=0,0,"reference error")</f>
        <v>0</v>
      </c>
      <c r="J86" s="58"/>
      <c r="K86" s="58"/>
      <c r="L86" s="58"/>
      <c r="M86" s="58"/>
    </row>
    <row r="87" spans="1:13" ht="11.25" customHeight="1" x14ac:dyDescent="0.25">
      <c r="A87" s="70"/>
      <c r="B87" s="70"/>
      <c r="C87" s="58"/>
      <c r="D87" s="38"/>
      <c r="E87" s="58"/>
      <c r="F87" s="58"/>
      <c r="G87" s="58"/>
      <c r="H87" s="58"/>
      <c r="I87" s="58"/>
      <c r="J87" s="58"/>
      <c r="K87" s="58"/>
      <c r="L87" s="58"/>
      <c r="M87" s="58"/>
    </row>
    <row r="88" spans="1:13" ht="20.149999999999999" customHeight="1" x14ac:dyDescent="0.25">
      <c r="A88" s="70"/>
      <c r="B88" s="70"/>
      <c r="C88" s="38"/>
      <c r="D88" s="38"/>
      <c r="E88" s="38"/>
      <c r="F88" s="38"/>
      <c r="G88" s="38"/>
      <c r="H88" s="38"/>
      <c r="I88" s="38"/>
      <c r="J88" s="12"/>
      <c r="K88" s="84"/>
      <c r="L88" s="84"/>
    </row>
    <row r="89" spans="1:13" ht="20.149999999999999" customHeight="1" x14ac:dyDescent="0.25">
      <c r="K89" s="54"/>
    </row>
    <row r="90" spans="1:13" ht="54" customHeight="1" x14ac:dyDescent="0.25">
      <c r="C90" s="234"/>
      <c r="K90" s="204"/>
    </row>
    <row r="91" spans="1:13" ht="54" customHeight="1" x14ac:dyDescent="0.25">
      <c r="C91" s="234"/>
    </row>
    <row r="92" spans="1:13" ht="19.5" customHeight="1" x14ac:dyDescent="0.25"/>
    <row r="93" spans="1:13" ht="17.25" customHeight="1" x14ac:dyDescent="0.25"/>
    <row r="94" spans="1:13" ht="17.25" customHeight="1" x14ac:dyDescent="0.25"/>
    <row r="95" spans="1:13" ht="18" customHeight="1" x14ac:dyDescent="0.25"/>
    <row r="96" spans="1:13" ht="17.25" customHeight="1" x14ac:dyDescent="0.25"/>
    <row r="97" ht="16.5" customHeight="1" x14ac:dyDescent="0.25"/>
    <row r="98" ht="29.25" customHeight="1" x14ac:dyDescent="0.25"/>
    <row r="99" ht="18" customHeight="1" x14ac:dyDescent="0.25"/>
    <row r="100" ht="17.25" customHeight="1" x14ac:dyDescent="0.25"/>
    <row r="101" ht="19.5" customHeight="1" x14ac:dyDescent="0.25"/>
    <row r="102" ht="16.5" customHeight="1" x14ac:dyDescent="0.25"/>
    <row r="103" ht="29.25" customHeight="1" x14ac:dyDescent="0.25"/>
    <row r="104" ht="16.5" customHeight="1" x14ac:dyDescent="0.25"/>
    <row r="105" ht="17.25" customHeight="1" x14ac:dyDescent="0.25"/>
    <row r="106" ht="19.5" customHeight="1" x14ac:dyDescent="0.25"/>
    <row r="107" ht="5.25" customHeight="1" x14ac:dyDescent="0.25"/>
    <row r="108" ht="19.5" customHeight="1" x14ac:dyDescent="0.25"/>
    <row r="109" ht="19.5" customHeight="1" x14ac:dyDescent="0.25"/>
    <row r="110" ht="19.5" customHeight="1" x14ac:dyDescent="0.25"/>
    <row r="111" ht="19.5" customHeight="1" x14ac:dyDescent="0.25"/>
    <row r="112" ht="17.25" customHeight="1" x14ac:dyDescent="0.25"/>
    <row r="113" ht="16.5" customHeight="1" x14ac:dyDescent="0.25"/>
    <row r="114" ht="17.25" customHeight="1" x14ac:dyDescent="0.25"/>
    <row r="115" ht="17.25" customHeight="1" x14ac:dyDescent="0.25"/>
    <row r="116" ht="17.25" customHeight="1" x14ac:dyDescent="0.25"/>
    <row r="117" ht="17.25" customHeight="1" x14ac:dyDescent="0.25"/>
    <row r="118" ht="17.25" customHeight="1" x14ac:dyDescent="0.25"/>
    <row r="119" ht="17.25" customHeight="1" x14ac:dyDescent="0.25"/>
    <row r="120" ht="17.25" customHeight="1" x14ac:dyDescent="0.25"/>
    <row r="121" ht="17.25" customHeight="1" x14ac:dyDescent="0.25"/>
    <row r="122" ht="17.25" customHeight="1" x14ac:dyDescent="0.25"/>
    <row r="126" ht="17.25" customHeight="1" x14ac:dyDescent="0.25"/>
    <row r="127" ht="17.25" customHeight="1" x14ac:dyDescent="0.25"/>
  </sheetData>
  <mergeCells count="10">
    <mergeCell ref="A71:M71"/>
    <mergeCell ref="L83:L84"/>
    <mergeCell ref="M1:N1"/>
    <mergeCell ref="C1:K1"/>
    <mergeCell ref="L66:L67"/>
    <mergeCell ref="A4:L4"/>
    <mergeCell ref="A5:L5"/>
    <mergeCell ref="A51:L51"/>
    <mergeCell ref="A18:M18"/>
    <mergeCell ref="L46:L47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U64"/>
  <sheetViews>
    <sheetView topLeftCell="A24" zoomScale="80" workbookViewId="0">
      <selection activeCell="G38" sqref="G38"/>
    </sheetView>
  </sheetViews>
  <sheetFormatPr defaultRowHeight="12.5" x14ac:dyDescent="0.25"/>
  <cols>
    <col min="1" max="1" width="49" customWidth="1"/>
    <col min="2" max="2" width="1.54296875" customWidth="1"/>
    <col min="3" max="3" width="15.453125" customWidth="1"/>
    <col min="4" max="4" width="1.81640625" customWidth="1"/>
    <col min="5" max="5" width="15.453125" customWidth="1"/>
    <col min="6" max="6" width="1.54296875" customWidth="1"/>
    <col min="7" max="7" width="15.453125" customWidth="1"/>
    <col min="8" max="8" width="1.54296875" customWidth="1"/>
    <col min="9" max="9" width="15.453125" customWidth="1"/>
    <col min="10" max="10" width="1.54296875" customWidth="1"/>
    <col min="11" max="11" width="15.26953125" customWidth="1"/>
    <col min="12" max="12" width="1.54296875" customWidth="1"/>
    <col min="13" max="13" width="15.26953125" customWidth="1"/>
  </cols>
  <sheetData>
    <row r="1" spans="1:21" ht="27.75" customHeight="1" x14ac:dyDescent="0.4">
      <c r="A1" s="1"/>
      <c r="B1" s="1"/>
      <c r="C1" s="402" t="str">
        <f>'R&amp;P Accounts'!B2</f>
        <v>Aberdeen Amateur Athletic Club</v>
      </c>
      <c r="D1" s="402"/>
      <c r="E1" s="402"/>
      <c r="F1" s="402"/>
      <c r="G1" s="402"/>
      <c r="H1" s="402"/>
      <c r="I1" s="402"/>
      <c r="J1" s="402"/>
      <c r="K1" s="402"/>
      <c r="L1" s="1"/>
      <c r="M1" s="367" t="str">
        <f>'R&amp;P Accounts'!L2</f>
        <v>SC050149</v>
      </c>
      <c r="N1" s="367"/>
    </row>
    <row r="2" spans="1:2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</row>
    <row r="3" spans="1:21" ht="26.25" customHeight="1" x14ac:dyDescent="0.25">
      <c r="A3" s="42" t="s">
        <v>110</v>
      </c>
      <c r="B3" s="42"/>
      <c r="C3" s="43"/>
      <c r="D3" s="42"/>
      <c r="E3" s="42"/>
      <c r="F3" s="42"/>
      <c r="G3" s="42"/>
      <c r="H3" s="368"/>
      <c r="I3" s="368"/>
      <c r="J3" s="368"/>
      <c r="K3" s="368"/>
      <c r="L3" s="81"/>
      <c r="M3" s="169"/>
    </row>
    <row r="5" spans="1:21" ht="15.5" x14ac:dyDescent="0.25">
      <c r="A5" s="392" t="s">
        <v>128</v>
      </c>
      <c r="B5" s="392"/>
      <c r="C5" s="392"/>
      <c r="D5" s="392"/>
      <c r="E5" s="392"/>
      <c r="F5" s="38"/>
      <c r="G5" s="38"/>
      <c r="H5" s="38"/>
      <c r="I5" s="38"/>
      <c r="J5" s="12"/>
      <c r="K5" s="84"/>
      <c r="L5" s="84"/>
      <c r="M5" s="1"/>
    </row>
    <row r="6" spans="1:21" ht="54.75" customHeight="1" x14ac:dyDescent="0.25">
      <c r="A6" s="70"/>
      <c r="B6" s="70"/>
      <c r="C6" s="112" t="s">
        <v>139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21" ht="54" customHeight="1" x14ac:dyDescent="0.2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21" ht="16.5" customHeight="1" x14ac:dyDescent="0.2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21" ht="17.25" customHeight="1" x14ac:dyDescent="0.3">
      <c r="A9" s="85" t="s">
        <v>21</v>
      </c>
      <c r="B9" s="1"/>
      <c r="C9" s="142">
        <f>'R&amp;P Accounts'!B12</f>
        <v>48379.25</v>
      </c>
      <c r="D9" s="143"/>
      <c r="E9" s="142"/>
      <c r="F9" s="154"/>
      <c r="G9" s="142"/>
      <c r="H9" s="143"/>
      <c r="I9" s="142"/>
      <c r="J9" s="154"/>
      <c r="K9" s="142">
        <f t="shared" ref="K9:K16" si="0">SUM(C9:I9)</f>
        <v>48379.25</v>
      </c>
      <c r="L9" s="154"/>
      <c r="M9" s="142">
        <v>42737.539999999994</v>
      </c>
    </row>
    <row r="10" spans="1:21" ht="17.25" customHeight="1" x14ac:dyDescent="0.3">
      <c r="A10" s="85" t="s">
        <v>22</v>
      </c>
      <c r="B10" s="69"/>
      <c r="C10" s="142">
        <f>'R&amp;P Accounts'!B13</f>
        <v>0</v>
      </c>
      <c r="D10" s="156"/>
      <c r="E10" s="155"/>
      <c r="F10" s="156"/>
      <c r="G10" s="155"/>
      <c r="H10" s="154"/>
      <c r="I10" s="155"/>
      <c r="J10" s="154"/>
      <c r="K10" s="142">
        <f t="shared" si="0"/>
        <v>0</v>
      </c>
      <c r="L10" s="156"/>
      <c r="M10" s="142">
        <v>0</v>
      </c>
      <c r="Q10" s="112"/>
      <c r="R10" s="107"/>
      <c r="S10" s="112"/>
      <c r="T10" s="107"/>
      <c r="U10" s="112"/>
    </row>
    <row r="11" spans="1:21" ht="17.25" customHeight="1" x14ac:dyDescent="0.3">
      <c r="A11" s="85" t="s">
        <v>23</v>
      </c>
      <c r="B11" s="70"/>
      <c r="C11" s="142">
        <f>'R&amp;P Accounts'!B14</f>
        <v>0</v>
      </c>
      <c r="D11" s="156"/>
      <c r="E11" s="155"/>
      <c r="F11" s="156"/>
      <c r="G11" s="155"/>
      <c r="H11" s="154"/>
      <c r="I11" s="155"/>
      <c r="J11" s="154"/>
      <c r="K11" s="142">
        <f t="shared" si="0"/>
        <v>0</v>
      </c>
      <c r="L11" s="156"/>
      <c r="M11" s="142">
        <v>0</v>
      </c>
    </row>
    <row r="12" spans="1:21" ht="16.5" customHeight="1" x14ac:dyDescent="0.3">
      <c r="A12" s="85" t="s">
        <v>24</v>
      </c>
      <c r="B12" s="70"/>
      <c r="C12" s="142">
        <f>'R&amp;P Accounts'!B15</f>
        <v>1077.74</v>
      </c>
      <c r="D12" s="156"/>
      <c r="E12" s="155"/>
      <c r="F12" s="156"/>
      <c r="G12" s="155"/>
      <c r="H12" s="154"/>
      <c r="I12" s="155"/>
      <c r="J12" s="154"/>
      <c r="K12" s="142">
        <f t="shared" si="0"/>
        <v>1077.74</v>
      </c>
      <c r="L12" s="156"/>
      <c r="M12" s="142">
        <v>896.2</v>
      </c>
    </row>
    <row r="13" spans="1:21" ht="17.25" customHeight="1" x14ac:dyDescent="0.3">
      <c r="A13" s="85" t="s">
        <v>25</v>
      </c>
      <c r="B13" s="70"/>
      <c r="C13" s="142">
        <f>'R&amp;P Accounts'!B16</f>
        <v>0</v>
      </c>
      <c r="D13" s="156"/>
      <c r="E13" s="155"/>
      <c r="F13" s="156"/>
      <c r="G13" s="155"/>
      <c r="H13" s="154"/>
      <c r="I13" s="155"/>
      <c r="J13" s="154"/>
      <c r="K13" s="142">
        <f t="shared" si="0"/>
        <v>0</v>
      </c>
      <c r="L13" s="156"/>
      <c r="M13" s="142">
        <v>0</v>
      </c>
    </row>
    <row r="14" spans="1:21" ht="17.25" customHeight="1" x14ac:dyDescent="0.3">
      <c r="A14" s="85" t="s">
        <v>26</v>
      </c>
      <c r="B14" s="70"/>
      <c r="C14" s="142">
        <f>'R&amp;P Accounts'!B17</f>
        <v>0</v>
      </c>
      <c r="D14" s="156"/>
      <c r="E14" s="155"/>
      <c r="F14" s="156"/>
      <c r="G14" s="155"/>
      <c r="H14" s="154"/>
      <c r="I14" s="155"/>
      <c r="J14" s="154"/>
      <c r="K14" s="142">
        <f t="shared" si="0"/>
        <v>0</v>
      </c>
      <c r="L14" s="156"/>
      <c r="M14" s="142">
        <v>0</v>
      </c>
    </row>
    <row r="15" spans="1:21" ht="16.5" customHeight="1" x14ac:dyDescent="0.3">
      <c r="A15" s="85" t="s">
        <v>68</v>
      </c>
      <c r="B15" s="1"/>
      <c r="C15" s="142">
        <f>'R&amp;P Accounts'!B18</f>
        <v>0</v>
      </c>
      <c r="D15" s="158"/>
      <c r="E15" s="157"/>
      <c r="F15" s="158"/>
      <c r="G15" s="157"/>
      <c r="H15" s="158"/>
      <c r="I15" s="157"/>
      <c r="J15" s="158"/>
      <c r="K15" s="142">
        <f t="shared" si="0"/>
        <v>0</v>
      </c>
      <c r="L15" s="158"/>
      <c r="M15" s="142">
        <v>0</v>
      </c>
    </row>
    <row r="16" spans="1:21" ht="16.5" customHeight="1" thickBot="1" x14ac:dyDescent="0.35">
      <c r="A16" s="85" t="s">
        <v>69</v>
      </c>
      <c r="B16" s="1"/>
      <c r="C16" s="142">
        <f>'R&amp;P Accounts'!B19</f>
        <v>19219.89</v>
      </c>
      <c r="D16" s="158"/>
      <c r="E16" s="159"/>
      <c r="F16" s="158"/>
      <c r="G16" s="159"/>
      <c r="H16" s="158"/>
      <c r="I16" s="159"/>
      <c r="J16" s="158"/>
      <c r="K16" s="142">
        <f t="shared" si="0"/>
        <v>19219.89</v>
      </c>
      <c r="L16" s="158"/>
      <c r="M16" s="142">
        <v>19892.470000000008</v>
      </c>
    </row>
    <row r="17" spans="1:13" ht="16" thickBot="1" x14ac:dyDescent="0.4">
      <c r="A17" s="109" t="s">
        <v>96</v>
      </c>
      <c r="B17" s="97"/>
      <c r="C17" s="160">
        <f>SUM(C9:C16)</f>
        <v>68676.88</v>
      </c>
      <c r="D17" s="161"/>
      <c r="E17" s="160">
        <f>SUM(E9:E16)</f>
        <v>0</v>
      </c>
      <c r="F17" s="161"/>
      <c r="G17" s="160">
        <f>SUM(G9:G16)</f>
        <v>0</v>
      </c>
      <c r="H17" s="161"/>
      <c r="I17" s="160">
        <f>SUM(I9:I16)</f>
        <v>0</v>
      </c>
      <c r="J17" s="161"/>
      <c r="K17" s="160">
        <f>SUM(K9:K16)</f>
        <v>68676.88</v>
      </c>
      <c r="L17" s="161"/>
      <c r="M17" s="160">
        <f>SUM(M9:M16)</f>
        <v>63526.21</v>
      </c>
    </row>
    <row r="18" spans="1:13" ht="15.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03">
        <f>IF(K17='R&amp;P Accounts'!B21,0,"cross ref error")</f>
        <v>0</v>
      </c>
      <c r="L18" s="96"/>
      <c r="M18" s="1"/>
    </row>
    <row r="19" spans="1:13" ht="16.5" customHeight="1" x14ac:dyDescent="0.3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">
      <c r="A20" s="85" t="s">
        <v>27</v>
      </c>
      <c r="B20" s="1"/>
      <c r="C20" s="123"/>
      <c r="D20" s="147"/>
      <c r="E20" s="123"/>
      <c r="F20" s="147"/>
      <c r="G20" s="123"/>
      <c r="H20" s="147"/>
      <c r="I20" s="123"/>
      <c r="J20" s="147"/>
      <c r="K20" s="207">
        <f>SUM(C20:I20)</f>
        <v>0</v>
      </c>
      <c r="L20" s="147"/>
      <c r="M20" s="123"/>
    </row>
    <row r="21" spans="1:13" ht="16.5" customHeight="1" thickBot="1" x14ac:dyDescent="0.35">
      <c r="A21" s="85" t="s">
        <v>28</v>
      </c>
      <c r="B21" s="1"/>
      <c r="C21" s="151"/>
      <c r="D21" s="147"/>
      <c r="E21" s="151"/>
      <c r="F21" s="147"/>
      <c r="G21" s="151"/>
      <c r="H21" s="147"/>
      <c r="I21" s="151"/>
      <c r="J21" s="147"/>
      <c r="K21" s="207">
        <f>SUM(C21:I21)</f>
        <v>0</v>
      </c>
      <c r="L21" s="147"/>
      <c r="M21" s="151"/>
    </row>
    <row r="22" spans="1:13" ht="16" thickBot="1" x14ac:dyDescent="0.4">
      <c r="A22" s="109" t="s">
        <v>96</v>
      </c>
      <c r="B22" s="1"/>
      <c r="C22" s="152">
        <f>SUM(C20:C21)</f>
        <v>0</v>
      </c>
      <c r="D22" s="147"/>
      <c r="E22" s="153">
        <f>SUM(E20:E21)</f>
        <v>0</v>
      </c>
      <c r="F22" s="147"/>
      <c r="G22" s="153">
        <f>SUM(G20:G21)</f>
        <v>0</v>
      </c>
      <c r="H22" s="147"/>
      <c r="I22" s="153">
        <f>SUM(I20:I21)</f>
        <v>0</v>
      </c>
      <c r="J22" s="147"/>
      <c r="K22" s="153">
        <f>SUM(K20:K21)</f>
        <v>0</v>
      </c>
      <c r="L22" s="147"/>
      <c r="M22" s="153">
        <f>SUM(M20:M21)</f>
        <v>0</v>
      </c>
    </row>
    <row r="23" spans="1:13" ht="9" customHeight="1" thickBot="1" x14ac:dyDescent="0.4">
      <c r="A23" s="109"/>
      <c r="B23" s="1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 ht="16" thickBot="1" x14ac:dyDescent="0.4">
      <c r="A24" s="109" t="s">
        <v>97</v>
      </c>
      <c r="B24" s="1"/>
      <c r="C24" s="153">
        <f>C17+C22</f>
        <v>68676.88</v>
      </c>
      <c r="D24" s="147"/>
      <c r="E24" s="153">
        <f>E17+E22</f>
        <v>0</v>
      </c>
      <c r="F24" s="147"/>
      <c r="G24" s="153">
        <f>G17+G22</f>
        <v>0</v>
      </c>
      <c r="H24" s="147"/>
      <c r="I24" s="153">
        <f>I17+I22</f>
        <v>0</v>
      </c>
      <c r="J24" s="147"/>
      <c r="K24" s="153">
        <f>K17+K22</f>
        <v>68676.88</v>
      </c>
      <c r="L24" s="147"/>
      <c r="M24" s="153">
        <f>M17+M22</f>
        <v>63526.21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04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25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">
      <c r="A28" s="86" t="s">
        <v>29</v>
      </c>
      <c r="B28" s="1"/>
      <c r="C28" s="123"/>
      <c r="D28" s="147"/>
      <c r="E28" s="123"/>
      <c r="F28" s="147"/>
      <c r="G28" s="123"/>
      <c r="H28" s="147"/>
      <c r="I28" s="123"/>
      <c r="J28" s="147"/>
      <c r="K28" s="207">
        <f t="shared" ref="K28:K38" si="1">SUM(C28:I28)</f>
        <v>0</v>
      </c>
      <c r="L28" s="147"/>
      <c r="M28" s="123"/>
    </row>
    <row r="29" spans="1:13" ht="16.5" customHeight="1" x14ac:dyDescent="0.3">
      <c r="A29" s="86" t="s">
        <v>114</v>
      </c>
      <c r="B29" s="1"/>
      <c r="C29" s="123"/>
      <c r="D29" s="147"/>
      <c r="E29" s="123"/>
      <c r="F29" s="147"/>
      <c r="G29" s="123"/>
      <c r="H29" s="147"/>
      <c r="I29" s="123"/>
      <c r="J29" s="147"/>
      <c r="K29" s="207">
        <f t="shared" si="1"/>
        <v>0</v>
      </c>
      <c r="L29" s="147"/>
      <c r="M29" s="123">
        <v>0</v>
      </c>
    </row>
    <row r="30" spans="1:13" ht="16.5" customHeight="1" x14ac:dyDescent="0.3">
      <c r="A30" s="86" t="s">
        <v>30</v>
      </c>
      <c r="B30" s="1"/>
      <c r="C30" s="213"/>
      <c r="D30" s="147"/>
      <c r="E30" s="149"/>
      <c r="F30" s="147"/>
      <c r="G30" s="149"/>
      <c r="H30" s="147"/>
      <c r="I30" s="149"/>
      <c r="J30" s="147"/>
      <c r="K30" s="207">
        <f t="shared" si="1"/>
        <v>0</v>
      </c>
      <c r="L30" s="147"/>
      <c r="M30" s="149">
        <v>0</v>
      </c>
    </row>
    <row r="31" spans="1:13" ht="16.5" customHeight="1" x14ac:dyDescent="0.3">
      <c r="A31" s="86" t="s">
        <v>31</v>
      </c>
      <c r="B31" s="1"/>
      <c r="C31" s="213">
        <f>'R&amp;P Accounts'!B34</f>
        <v>55661.32</v>
      </c>
      <c r="D31" s="147"/>
      <c r="E31" s="149"/>
      <c r="F31" s="147"/>
      <c r="G31" s="149"/>
      <c r="H31" s="147"/>
      <c r="I31" s="149"/>
      <c r="J31" s="147"/>
      <c r="K31" s="207">
        <f t="shared" si="1"/>
        <v>55661.32</v>
      </c>
      <c r="L31" s="147"/>
      <c r="M31" s="207">
        <f>65832.71+960</f>
        <v>66792.710000000006</v>
      </c>
    </row>
    <row r="32" spans="1:13" ht="16.5" customHeight="1" x14ac:dyDescent="0.3">
      <c r="A32" s="86" t="s">
        <v>32</v>
      </c>
      <c r="B32" s="1"/>
      <c r="C32" s="213">
        <v>0</v>
      </c>
      <c r="D32" s="147"/>
      <c r="E32" s="149"/>
      <c r="F32" s="147"/>
      <c r="G32" s="149"/>
      <c r="H32" s="147"/>
      <c r="I32" s="149"/>
      <c r="J32" s="147"/>
      <c r="K32" s="207">
        <f t="shared" si="1"/>
        <v>0</v>
      </c>
      <c r="L32" s="147"/>
      <c r="M32" s="207"/>
    </row>
    <row r="33" spans="1:14" ht="16.5" customHeight="1" x14ac:dyDescent="0.3">
      <c r="A33" s="86" t="s">
        <v>33</v>
      </c>
      <c r="B33" s="1"/>
      <c r="C33" s="213"/>
      <c r="D33" s="147"/>
      <c r="E33" s="149"/>
      <c r="F33" s="147"/>
      <c r="G33" s="149"/>
      <c r="H33" s="147"/>
      <c r="I33" s="149"/>
      <c r="J33" s="147"/>
      <c r="K33" s="207">
        <f t="shared" si="1"/>
        <v>0</v>
      </c>
      <c r="L33" s="147"/>
      <c r="M33" s="149">
        <v>0</v>
      </c>
    </row>
    <row r="34" spans="1:14" ht="16.5" customHeight="1" x14ac:dyDescent="0.3">
      <c r="A34" s="87" t="s">
        <v>34</v>
      </c>
      <c r="B34" s="1"/>
      <c r="C34" s="213">
        <v>780</v>
      </c>
      <c r="D34" s="147"/>
      <c r="E34" s="149"/>
      <c r="F34" s="147"/>
      <c r="G34" s="149"/>
      <c r="H34" s="147"/>
      <c r="I34" s="149"/>
      <c r="J34" s="147"/>
      <c r="K34" s="207">
        <f t="shared" si="1"/>
        <v>780</v>
      </c>
      <c r="L34" s="147"/>
      <c r="M34" s="149">
        <v>0</v>
      </c>
    </row>
    <row r="35" spans="1:14" ht="17.25" customHeight="1" x14ac:dyDescent="0.3">
      <c r="A35" s="87" t="s">
        <v>35</v>
      </c>
      <c r="B35" s="1"/>
      <c r="C35" s="213">
        <v>0</v>
      </c>
      <c r="D35" s="147"/>
      <c r="E35" s="149"/>
      <c r="F35" s="147"/>
      <c r="G35" s="149"/>
      <c r="H35" s="147"/>
      <c r="I35" s="149"/>
      <c r="J35" s="147"/>
      <c r="K35" s="207">
        <f t="shared" si="1"/>
        <v>0</v>
      </c>
      <c r="L35" s="147">
        <v>0</v>
      </c>
      <c r="M35" s="149"/>
    </row>
    <row r="36" spans="1:14" ht="17.25" customHeight="1" x14ac:dyDescent="0.3">
      <c r="A36" s="87" t="s">
        <v>36</v>
      </c>
      <c r="B36" s="1"/>
      <c r="C36" s="213"/>
      <c r="D36" s="147"/>
      <c r="E36" s="149"/>
      <c r="F36" s="147"/>
      <c r="G36" s="149"/>
      <c r="H36" s="147"/>
      <c r="I36" s="149"/>
      <c r="J36" s="147"/>
      <c r="K36" s="207">
        <f t="shared" si="1"/>
        <v>0</v>
      </c>
      <c r="L36" s="147"/>
      <c r="M36" s="149">
        <v>0</v>
      </c>
    </row>
    <row r="37" spans="1:14" ht="14" x14ac:dyDescent="0.3">
      <c r="A37" s="86"/>
      <c r="B37" s="1"/>
      <c r="C37" s="149"/>
      <c r="D37" s="147"/>
      <c r="E37" s="149"/>
      <c r="F37" s="147"/>
      <c r="G37" s="149"/>
      <c r="H37" s="147"/>
      <c r="I37" s="149"/>
      <c r="J37" s="147"/>
      <c r="K37" s="207">
        <f t="shared" si="1"/>
        <v>0</v>
      </c>
      <c r="L37" s="147"/>
      <c r="M37" s="149">
        <v>0</v>
      </c>
    </row>
    <row r="38" spans="1:14" ht="14.5" thickBot="1" x14ac:dyDescent="0.35">
      <c r="A38" s="110"/>
      <c r="B38" s="1"/>
      <c r="C38" s="149"/>
      <c r="D38" s="147"/>
      <c r="E38" s="149"/>
      <c r="F38" s="147"/>
      <c r="G38" s="149"/>
      <c r="H38" s="147"/>
      <c r="I38" s="149"/>
      <c r="J38" s="147"/>
      <c r="K38" s="207">
        <f t="shared" si="1"/>
        <v>0</v>
      </c>
      <c r="L38" s="147"/>
      <c r="M38" s="149">
        <v>0</v>
      </c>
    </row>
    <row r="39" spans="1:14" ht="16.5" customHeight="1" thickBot="1" x14ac:dyDescent="0.35">
      <c r="A39" s="13" t="s">
        <v>96</v>
      </c>
      <c r="B39" s="1"/>
      <c r="C39" s="150">
        <f>SUM(C28:C38)</f>
        <v>56441.32</v>
      </c>
      <c r="D39" s="147"/>
      <c r="E39" s="146">
        <f>SUM(E28:E38)</f>
        <v>0</v>
      </c>
      <c r="F39" s="147"/>
      <c r="G39" s="146">
        <f>SUM(G28:G38)</f>
        <v>0</v>
      </c>
      <c r="H39" s="147"/>
      <c r="I39" s="146">
        <f>SUM(I28:I38)</f>
        <v>0</v>
      </c>
      <c r="J39" s="147"/>
      <c r="K39" s="146">
        <f>SUM(K28:K38)</f>
        <v>56441.32</v>
      </c>
      <c r="L39" s="147"/>
      <c r="M39" s="146">
        <f>SUM(M28:M38)</f>
        <v>66792.710000000006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04">
        <f>IF(K39='R&amp;P Accounts'!B42,0,"cross ref error")</f>
        <v>0</v>
      </c>
      <c r="L40" s="1"/>
      <c r="M40" s="1"/>
    </row>
    <row r="41" spans="1:14" ht="30" customHeight="1" x14ac:dyDescent="0.3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">
      <c r="A42" s="86" t="s">
        <v>37</v>
      </c>
      <c r="B42" s="1"/>
      <c r="C42" s="149"/>
      <c r="D42" s="147"/>
      <c r="E42" s="149"/>
      <c r="F42" s="147"/>
      <c r="G42" s="149"/>
      <c r="H42" s="147"/>
      <c r="I42" s="149"/>
      <c r="J42" s="147"/>
      <c r="K42" s="207">
        <f>SUM(C42:I42)</f>
        <v>0</v>
      </c>
      <c r="L42" s="147"/>
      <c r="M42" s="149"/>
    </row>
    <row r="43" spans="1:14" ht="16.5" customHeight="1" thickBot="1" x14ac:dyDescent="0.35">
      <c r="A43" s="86" t="s">
        <v>38</v>
      </c>
      <c r="B43" s="1"/>
      <c r="C43" s="149"/>
      <c r="D43" s="147"/>
      <c r="E43" s="149"/>
      <c r="F43" s="147"/>
      <c r="G43" s="149"/>
      <c r="H43" s="147"/>
      <c r="I43" s="149"/>
      <c r="J43" s="147"/>
      <c r="K43" s="207">
        <f>SUM(C43:I43)</f>
        <v>0</v>
      </c>
      <c r="L43" s="147"/>
      <c r="M43" s="149"/>
    </row>
    <row r="44" spans="1:14" ht="16.5" customHeight="1" thickBot="1" x14ac:dyDescent="0.35">
      <c r="A44" s="13" t="s">
        <v>95</v>
      </c>
      <c r="B44" s="1"/>
      <c r="C44" s="150">
        <f>C42+C43</f>
        <v>0</v>
      </c>
      <c r="D44" s="147"/>
      <c r="E44" s="146">
        <f>E42+E43</f>
        <v>0</v>
      </c>
      <c r="F44" s="147"/>
      <c r="G44" s="146">
        <f>G42+G43</f>
        <v>0</v>
      </c>
      <c r="H44" s="147"/>
      <c r="I44" s="146">
        <f>I42+I43</f>
        <v>0</v>
      </c>
      <c r="J44" s="147"/>
      <c r="K44" s="146">
        <f>K42+K43</f>
        <v>0</v>
      </c>
      <c r="L44" s="147"/>
      <c r="M44" s="146">
        <f>M42+M43</f>
        <v>0</v>
      </c>
    </row>
    <row r="45" spans="1:14" ht="17.25" customHeight="1" thickBot="1" x14ac:dyDescent="0.35">
      <c r="A45" s="1"/>
      <c r="B45" s="1"/>
      <c r="C45" s="132"/>
      <c r="D45" s="131"/>
      <c r="E45" s="131"/>
      <c r="F45" s="131"/>
      <c r="G45" s="131"/>
      <c r="H45" s="131"/>
      <c r="I45" s="131"/>
      <c r="J45" s="131"/>
      <c r="K45" s="204">
        <f>IF(K44='R&amp;P Accounts'!B47,0,"cross ref error")</f>
        <v>0</v>
      </c>
      <c r="L45" s="131"/>
      <c r="M45" s="131"/>
    </row>
    <row r="46" spans="1:14" ht="16.5" customHeight="1" thickBot="1" x14ac:dyDescent="0.35">
      <c r="A46" s="111" t="s">
        <v>12</v>
      </c>
      <c r="B46" s="1"/>
      <c r="C46" s="146">
        <f>+C44+C39</f>
        <v>56441.32</v>
      </c>
      <c r="D46" s="147"/>
      <c r="E46" s="146">
        <f>+E44+E39</f>
        <v>0</v>
      </c>
      <c r="F46" s="147"/>
      <c r="G46" s="146">
        <f>+G44+G39</f>
        <v>0</v>
      </c>
      <c r="H46" s="147"/>
      <c r="I46" s="146">
        <f>+I44+I39</f>
        <v>0</v>
      </c>
      <c r="J46" s="147"/>
      <c r="K46" s="146">
        <f>+K44+K39</f>
        <v>56441.32</v>
      </c>
      <c r="L46" s="147"/>
      <c r="M46" s="146">
        <f>+M44+M39</f>
        <v>66792.710000000006</v>
      </c>
      <c r="N46" s="148"/>
    </row>
    <row r="47" spans="1:14" ht="17.25" customHeight="1" thickBot="1" x14ac:dyDescent="0.35">
      <c r="A47" s="1"/>
      <c r="B47" s="1"/>
      <c r="C47" s="132"/>
      <c r="D47" s="131"/>
      <c r="E47" s="131"/>
      <c r="F47" s="131"/>
      <c r="G47" s="131"/>
      <c r="H47" s="131"/>
      <c r="I47" s="131"/>
      <c r="J47" s="131"/>
      <c r="K47" s="204">
        <f>IF(K46='R&amp;P Accounts'!B49,0,"cross ref error")</f>
        <v>0</v>
      </c>
      <c r="L47" s="131"/>
      <c r="M47" s="131"/>
    </row>
    <row r="48" spans="1:14" ht="18.75" customHeight="1" thickBot="1" x14ac:dyDescent="0.35">
      <c r="A48" s="40" t="s">
        <v>105</v>
      </c>
      <c r="B48" s="1"/>
      <c r="C48" s="144">
        <f>+C24-C46</f>
        <v>12235.560000000005</v>
      </c>
      <c r="D48" s="145"/>
      <c r="E48" s="144">
        <f>+E24-E46</f>
        <v>0</v>
      </c>
      <c r="F48" s="145"/>
      <c r="G48" s="144">
        <f>+G24-G46</f>
        <v>0</v>
      </c>
      <c r="H48" s="145"/>
      <c r="I48" s="144">
        <f>+I24-I46</f>
        <v>0</v>
      </c>
      <c r="J48" s="145"/>
      <c r="K48" s="144">
        <f>+K24-K46</f>
        <v>12235.560000000005</v>
      </c>
      <c r="L48" s="145"/>
      <c r="M48" s="144">
        <f>+M24-M46</f>
        <v>-3266.5000000000073</v>
      </c>
    </row>
    <row r="49" spans="1:13" ht="14.25" customHeight="1" thickBot="1" x14ac:dyDescent="0.35">
      <c r="A49" s="40"/>
      <c r="B49" s="1"/>
      <c r="C49" s="205"/>
      <c r="D49" s="145"/>
      <c r="E49" s="205"/>
      <c r="F49" s="145"/>
      <c r="G49" s="205"/>
      <c r="H49" s="145"/>
      <c r="I49" s="205"/>
      <c r="J49" s="145"/>
      <c r="K49" s="205"/>
      <c r="L49" s="145"/>
      <c r="M49" s="205"/>
    </row>
    <row r="50" spans="1:13" ht="18.75" customHeight="1" thickBot="1" x14ac:dyDescent="0.35">
      <c r="A50" s="97" t="s">
        <v>121</v>
      </c>
      <c r="B50" s="1"/>
      <c r="C50" s="144"/>
      <c r="D50" s="145"/>
      <c r="E50" s="206"/>
      <c r="F50" s="145"/>
      <c r="G50" s="206"/>
      <c r="H50" s="145"/>
      <c r="I50" s="206"/>
      <c r="J50" s="145"/>
      <c r="K50" s="206">
        <f>SUM(C50:I50)</f>
        <v>0</v>
      </c>
      <c r="L50" s="145"/>
      <c r="M50" s="206"/>
    </row>
    <row r="51" spans="1:13" ht="14.25" customHeight="1" thickBot="1" x14ac:dyDescent="0.35">
      <c r="A51" s="97"/>
      <c r="B51" s="1"/>
      <c r="C51" s="139"/>
      <c r="D51" s="145"/>
      <c r="E51" s="145"/>
      <c r="F51" s="145"/>
      <c r="G51" s="145"/>
      <c r="H51" s="145"/>
      <c r="I51" s="145"/>
      <c r="J51" s="145"/>
      <c r="K51" s="145"/>
      <c r="L51" s="145"/>
      <c r="M51" s="145"/>
    </row>
    <row r="52" spans="1:13" ht="18.75" customHeight="1" thickBot="1" x14ac:dyDescent="0.35">
      <c r="A52" s="13" t="s">
        <v>42</v>
      </c>
      <c r="B52" s="1"/>
      <c r="C52" s="144">
        <f>C48+C50</f>
        <v>12235.560000000005</v>
      </c>
      <c r="D52" s="145"/>
      <c r="E52" s="144">
        <f>E48+E50</f>
        <v>0</v>
      </c>
      <c r="F52" s="145"/>
      <c r="G52" s="144">
        <f>G48+G50</f>
        <v>0</v>
      </c>
      <c r="H52" s="145"/>
      <c r="I52" s="144">
        <f>I48+I50</f>
        <v>0</v>
      </c>
      <c r="J52" s="145"/>
      <c r="K52" s="144">
        <f>K48+K50</f>
        <v>12235.560000000005</v>
      </c>
      <c r="L52" s="145"/>
      <c r="M52" s="144">
        <f>M48+M50</f>
        <v>-3266.5000000000073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04">
        <f>IF(K52='R&amp;P Accounts'!B55,0,"cross ref error")</f>
        <v>0</v>
      </c>
      <c r="L53" s="1"/>
      <c r="M53" s="1"/>
    </row>
    <row r="55" spans="1:13" ht="15.5" x14ac:dyDescent="0.35">
      <c r="A55" s="168" t="s">
        <v>107</v>
      </c>
    </row>
    <row r="56" spans="1:13" x14ac:dyDescent="0.25">
      <c r="A56" s="393" t="s">
        <v>153</v>
      </c>
      <c r="B56" s="394"/>
      <c r="C56" s="394"/>
      <c r="D56" s="394"/>
      <c r="E56" s="394"/>
      <c r="F56" s="394"/>
      <c r="G56" s="394"/>
      <c r="H56" s="394"/>
      <c r="I56" s="394"/>
      <c r="J56" s="394"/>
      <c r="K56" s="394"/>
      <c r="L56" s="394"/>
      <c r="M56" s="395"/>
    </row>
    <row r="57" spans="1:13" x14ac:dyDescent="0.25">
      <c r="A57" s="396"/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8"/>
    </row>
    <row r="58" spans="1:13" x14ac:dyDescent="0.25">
      <c r="A58" s="396"/>
      <c r="B58" s="397"/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8"/>
    </row>
    <row r="59" spans="1:13" x14ac:dyDescent="0.25">
      <c r="A59" s="396"/>
      <c r="B59" s="397"/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8"/>
    </row>
    <row r="60" spans="1:13" x14ac:dyDescent="0.25">
      <c r="A60" s="396"/>
      <c r="B60" s="397"/>
      <c r="C60" s="397"/>
      <c r="D60" s="397"/>
      <c r="E60" s="397"/>
      <c r="F60" s="397"/>
      <c r="G60" s="397"/>
      <c r="H60" s="397"/>
      <c r="I60" s="397"/>
      <c r="J60" s="397"/>
      <c r="K60" s="397"/>
      <c r="L60" s="397"/>
      <c r="M60" s="398"/>
    </row>
    <row r="61" spans="1:13" x14ac:dyDescent="0.25">
      <c r="A61" s="396"/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8"/>
    </row>
    <row r="62" spans="1:13" x14ac:dyDescent="0.25">
      <c r="A62" s="396"/>
      <c r="B62" s="397"/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398"/>
    </row>
    <row r="63" spans="1:13" x14ac:dyDescent="0.25">
      <c r="A63" s="396"/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8"/>
    </row>
    <row r="64" spans="1:13" x14ac:dyDescent="0.25">
      <c r="A64" s="399"/>
      <c r="B64" s="400"/>
      <c r="C64" s="400"/>
      <c r="D64" s="400"/>
      <c r="E64" s="400"/>
      <c r="F64" s="400"/>
      <c r="G64" s="400"/>
      <c r="H64" s="400"/>
      <c r="I64" s="400"/>
      <c r="J64" s="400"/>
      <c r="K64" s="400"/>
      <c r="L64" s="400"/>
      <c r="M64" s="401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  <pageSetUpPr fitToPage="1"/>
  </sheetPr>
  <dimension ref="A1:AH68"/>
  <sheetViews>
    <sheetView topLeftCell="A21" zoomScale="80" workbookViewId="0">
      <selection activeCell="P41" sqref="P41"/>
    </sheetView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.453125" style="1" customWidth="1"/>
    <col min="4" max="4" width="13.1796875" style="1" customWidth="1"/>
    <col min="5" max="5" width="1.54296875" style="1" customWidth="1"/>
    <col min="6" max="6" width="9.453125" style="1" customWidth="1"/>
    <col min="7" max="7" width="1.453125" style="1" customWidth="1"/>
    <col min="8" max="8" width="11" style="1" customWidth="1"/>
    <col min="9" max="9" width="1.453125" style="1" customWidth="1"/>
    <col min="10" max="15" width="13.1796875" style="1" customWidth="1"/>
    <col min="16" max="16" width="16.54296875" style="1" customWidth="1"/>
    <col min="17" max="28" width="13.1796875" style="1" customWidth="1"/>
    <col min="29" max="29" width="14.7265625" style="1" customWidth="1"/>
    <col min="30" max="30" width="1.7265625" style="1" customWidth="1"/>
    <col min="31" max="31" width="14.7265625" style="1" customWidth="1"/>
    <col min="32" max="16384" width="9.1796875" style="1"/>
  </cols>
  <sheetData>
    <row r="1" spans="1:34" ht="27.75" customHeight="1" x14ac:dyDescent="0.4"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E1" s="367" t="str">
        <f>'R&amp;P Accounts'!L2</f>
        <v>SC050149</v>
      </c>
      <c r="AF1" s="367"/>
    </row>
    <row r="2" spans="1:34" ht="10.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</row>
    <row r="3" spans="1:34" s="46" customFormat="1" ht="26.25" customHeight="1" x14ac:dyDescent="0.25">
      <c r="A3" s="42" t="s">
        <v>111</v>
      </c>
      <c r="B3" s="42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81"/>
      <c r="AE3" s="45"/>
    </row>
    <row r="4" spans="1:34" ht="1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</row>
    <row r="5" spans="1:34" ht="20.149999999999999" customHeight="1" x14ac:dyDescent="0.25">
      <c r="A5" s="392" t="s">
        <v>127</v>
      </c>
      <c r="B5" s="392"/>
      <c r="C5" s="38"/>
      <c r="D5" s="38"/>
      <c r="E5" s="12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84"/>
      <c r="AD5" s="84"/>
    </row>
    <row r="6" spans="1:34" ht="54" customHeight="1" x14ac:dyDescent="0.25">
      <c r="A6" s="70"/>
      <c r="B6" s="70"/>
      <c r="C6" s="107"/>
      <c r="D6" s="112" t="s">
        <v>142</v>
      </c>
      <c r="E6" s="106"/>
      <c r="F6" s="112" t="s">
        <v>156</v>
      </c>
      <c r="G6" s="107"/>
      <c r="H6" s="112" t="s">
        <v>163</v>
      </c>
      <c r="I6" s="107"/>
      <c r="J6" s="241" t="s">
        <v>158</v>
      </c>
      <c r="K6" s="241" t="s">
        <v>174</v>
      </c>
      <c r="L6" s="241" t="s">
        <v>173</v>
      </c>
      <c r="M6" s="241" t="s">
        <v>167</v>
      </c>
      <c r="N6" s="241" t="s">
        <v>168</v>
      </c>
      <c r="O6" s="241" t="s">
        <v>169</v>
      </c>
      <c r="P6" s="241" t="s">
        <v>170</v>
      </c>
      <c r="Q6" s="112" t="s">
        <v>140</v>
      </c>
      <c r="R6" s="112" t="s">
        <v>141</v>
      </c>
      <c r="S6" s="241" t="s">
        <v>172</v>
      </c>
      <c r="T6" s="241" t="s">
        <v>192</v>
      </c>
      <c r="U6" s="241" t="s">
        <v>193</v>
      </c>
      <c r="V6" s="241" t="s">
        <v>195</v>
      </c>
      <c r="W6" s="241" t="s">
        <v>197</v>
      </c>
      <c r="X6" s="241" t="s">
        <v>196</v>
      </c>
      <c r="Y6" s="241" t="s">
        <v>194</v>
      </c>
      <c r="Z6" s="241" t="s">
        <v>203</v>
      </c>
      <c r="AA6" s="241" t="s">
        <v>204</v>
      </c>
      <c r="AB6" s="241" t="s">
        <v>206</v>
      </c>
      <c r="AH6" s="215"/>
    </row>
    <row r="7" spans="1:34" ht="54" customHeight="1" x14ac:dyDescent="0.25">
      <c r="A7" s="70"/>
      <c r="B7" s="70"/>
      <c r="C7" s="107"/>
      <c r="D7" s="112" t="s">
        <v>143</v>
      </c>
      <c r="E7" s="106"/>
      <c r="F7" s="107" t="s">
        <v>144</v>
      </c>
      <c r="G7" s="107"/>
      <c r="H7" s="107" t="s">
        <v>145</v>
      </c>
      <c r="I7" s="107"/>
      <c r="J7" s="241" t="s">
        <v>146</v>
      </c>
      <c r="K7" s="112" t="s">
        <v>147</v>
      </c>
      <c r="L7" s="112" t="s">
        <v>148</v>
      </c>
      <c r="M7" s="112" t="s">
        <v>149</v>
      </c>
      <c r="N7" s="112" t="s">
        <v>150</v>
      </c>
      <c r="O7" s="112" t="s">
        <v>151</v>
      </c>
      <c r="P7" s="112" t="s">
        <v>152</v>
      </c>
      <c r="Q7" s="112" t="s">
        <v>154</v>
      </c>
      <c r="R7" s="112" t="s">
        <v>155</v>
      </c>
      <c r="S7" s="241" t="s">
        <v>171</v>
      </c>
      <c r="T7" s="241" t="s">
        <v>178</v>
      </c>
      <c r="U7" s="241" t="s">
        <v>179</v>
      </c>
      <c r="V7" s="241" t="s">
        <v>180</v>
      </c>
      <c r="W7" s="241" t="s">
        <v>189</v>
      </c>
      <c r="X7" s="241" t="s">
        <v>190</v>
      </c>
      <c r="Y7" s="241" t="s">
        <v>191</v>
      </c>
      <c r="Z7" s="241" t="s">
        <v>201</v>
      </c>
      <c r="AA7" s="241" t="s">
        <v>202</v>
      </c>
      <c r="AB7" s="241" t="s">
        <v>207</v>
      </c>
      <c r="AC7" s="113" t="s">
        <v>100</v>
      </c>
      <c r="AD7" s="84"/>
      <c r="AE7" s="114" t="s">
        <v>101</v>
      </c>
    </row>
    <row r="8" spans="1:34" ht="19.5" customHeight="1" x14ac:dyDescent="0.25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4" ht="17.25" customHeight="1" x14ac:dyDescent="0.3">
      <c r="A9" s="85" t="s">
        <v>21</v>
      </c>
      <c r="C9" s="210"/>
      <c r="D9" s="207"/>
      <c r="E9" s="122"/>
      <c r="F9" s="207"/>
      <c r="G9" s="210"/>
      <c r="H9" s="207"/>
      <c r="I9" s="210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>
        <f>SUM(C9:AA9)</f>
        <v>0</v>
      </c>
      <c r="AD9" s="162"/>
      <c r="AE9" s="207"/>
    </row>
    <row r="10" spans="1:34" ht="17.25" customHeight="1" x14ac:dyDescent="0.3">
      <c r="A10" s="85" t="s">
        <v>22</v>
      </c>
      <c r="B10" s="69"/>
      <c r="C10" s="122"/>
      <c r="D10" s="214"/>
      <c r="E10" s="122"/>
      <c r="F10" s="214"/>
      <c r="G10" s="122"/>
      <c r="H10" s="214"/>
      <c r="I10" s="122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07">
        <f t="shared" ref="AC10:AC16" si="0">SUM(C10:AA10)</f>
        <v>0</v>
      </c>
      <c r="AD10" s="119"/>
      <c r="AE10" s="163"/>
    </row>
    <row r="11" spans="1:34" ht="18" customHeight="1" x14ac:dyDescent="0.3">
      <c r="A11" s="85" t="s">
        <v>23</v>
      </c>
      <c r="B11" s="70"/>
      <c r="C11" s="122"/>
      <c r="D11" s="214"/>
      <c r="E11" s="122"/>
      <c r="F11" s="214"/>
      <c r="G11" s="122"/>
      <c r="H11" s="214"/>
      <c r="I11" s="122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>
        <v>1961.36</v>
      </c>
      <c r="X11" s="214">
        <v>9000</v>
      </c>
      <c r="Y11" s="214"/>
      <c r="Z11" s="214">
        <v>2500</v>
      </c>
      <c r="AA11" s="214">
        <v>800</v>
      </c>
      <c r="AB11" s="214">
        <v>1635.72</v>
      </c>
      <c r="AC11" s="207">
        <f>SUM(C11:AB11)</f>
        <v>15897.08</v>
      </c>
      <c r="AD11" s="119"/>
      <c r="AE11" s="163">
        <v>21008.9</v>
      </c>
    </row>
    <row r="12" spans="1:34" ht="16.5" customHeight="1" x14ac:dyDescent="0.3">
      <c r="A12" s="85" t="s">
        <v>24</v>
      </c>
      <c r="B12" s="70"/>
      <c r="C12" s="122"/>
      <c r="D12" s="214"/>
      <c r="E12" s="122"/>
      <c r="F12" s="214"/>
      <c r="G12" s="122"/>
      <c r="H12" s="214"/>
      <c r="I12" s="122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07">
        <f t="shared" si="0"/>
        <v>0</v>
      </c>
      <c r="AD12" s="119"/>
      <c r="AE12" s="163"/>
    </row>
    <row r="13" spans="1:34" ht="18" customHeight="1" x14ac:dyDescent="0.3">
      <c r="A13" s="85" t="s">
        <v>25</v>
      </c>
      <c r="B13" s="70"/>
      <c r="C13" s="122"/>
      <c r="D13" s="214"/>
      <c r="E13" s="122"/>
      <c r="F13" s="214"/>
      <c r="G13" s="122"/>
      <c r="H13" s="214"/>
      <c r="I13" s="122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07">
        <f t="shared" si="0"/>
        <v>0</v>
      </c>
      <c r="AD13" s="119"/>
      <c r="AE13" s="163"/>
    </row>
    <row r="14" spans="1:34" ht="29.25" customHeight="1" x14ac:dyDescent="0.3">
      <c r="A14" s="85" t="s">
        <v>26</v>
      </c>
      <c r="B14" s="70"/>
      <c r="C14" s="122"/>
      <c r="D14" s="214"/>
      <c r="E14" s="122"/>
      <c r="F14" s="214"/>
      <c r="G14" s="122"/>
      <c r="H14" s="214"/>
      <c r="I14" s="122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07">
        <f t="shared" si="0"/>
        <v>0</v>
      </c>
      <c r="AD14" s="119"/>
      <c r="AE14" s="163"/>
    </row>
    <row r="15" spans="1:34" ht="17.25" customHeight="1" x14ac:dyDescent="0.3">
      <c r="A15" s="85" t="s">
        <v>68</v>
      </c>
      <c r="C15" s="147"/>
      <c r="D15" s="123"/>
      <c r="E15" s="147"/>
      <c r="F15" s="123"/>
      <c r="G15" s="147"/>
      <c r="H15" s="123"/>
      <c r="I15" s="147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207">
        <f t="shared" si="0"/>
        <v>0</v>
      </c>
      <c r="AD15" s="165"/>
      <c r="AE15" s="164"/>
    </row>
    <row r="16" spans="1:34" ht="17.25" customHeight="1" thickBot="1" x14ac:dyDescent="0.35">
      <c r="A16" s="85" t="s">
        <v>69</v>
      </c>
      <c r="C16" s="147"/>
      <c r="D16" s="274"/>
      <c r="E16" s="147"/>
      <c r="F16" s="274"/>
      <c r="G16" s="147"/>
      <c r="H16" s="274"/>
      <c r="I16" s="147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07">
        <f t="shared" si="0"/>
        <v>0</v>
      </c>
      <c r="AD16" s="165"/>
      <c r="AE16" s="166"/>
    </row>
    <row r="17" spans="1:31" ht="18" customHeight="1" thickBot="1" x14ac:dyDescent="0.4">
      <c r="A17" s="109" t="s">
        <v>96</v>
      </c>
      <c r="B17" s="97"/>
      <c r="C17" s="209"/>
      <c r="D17" s="275">
        <f>SUM(D9:D16)</f>
        <v>0</v>
      </c>
      <c r="E17" s="275">
        <f t="shared" ref="E17:Q17" si="1">SUM(E9:E16)</f>
        <v>0</v>
      </c>
      <c r="F17" s="275">
        <f t="shared" si="1"/>
        <v>0</v>
      </c>
      <c r="G17" s="275">
        <f t="shared" si="1"/>
        <v>0</v>
      </c>
      <c r="H17" s="275">
        <f t="shared" si="1"/>
        <v>0</v>
      </c>
      <c r="I17" s="275">
        <f t="shared" si="1"/>
        <v>0</v>
      </c>
      <c r="J17" s="275">
        <f t="shared" si="1"/>
        <v>0</v>
      </c>
      <c r="K17" s="275">
        <f t="shared" si="1"/>
        <v>0</v>
      </c>
      <c r="L17" s="275">
        <f t="shared" si="1"/>
        <v>0</v>
      </c>
      <c r="M17" s="275">
        <f t="shared" si="1"/>
        <v>0</v>
      </c>
      <c r="N17" s="275">
        <f t="shared" si="1"/>
        <v>0</v>
      </c>
      <c r="O17" s="275">
        <f t="shared" si="1"/>
        <v>0</v>
      </c>
      <c r="P17" s="275">
        <f t="shared" si="1"/>
        <v>0</v>
      </c>
      <c r="Q17" s="275">
        <f t="shared" si="1"/>
        <v>0</v>
      </c>
      <c r="R17" s="275"/>
      <c r="S17" s="275">
        <f t="shared" ref="S17:Y17" si="2">SUM(S9:S16)</f>
        <v>0</v>
      </c>
      <c r="T17" s="275">
        <f t="shared" si="2"/>
        <v>0</v>
      </c>
      <c r="U17" s="275">
        <f t="shared" si="2"/>
        <v>0</v>
      </c>
      <c r="V17" s="275">
        <f t="shared" si="2"/>
        <v>0</v>
      </c>
      <c r="W17" s="275">
        <f t="shared" si="2"/>
        <v>1961.36</v>
      </c>
      <c r="X17" s="275">
        <f t="shared" si="2"/>
        <v>9000</v>
      </c>
      <c r="Y17" s="275">
        <f t="shared" si="2"/>
        <v>0</v>
      </c>
      <c r="Z17" s="275">
        <f t="shared" ref="Z17" si="3">SUM(Z9:Z16)</f>
        <v>2500</v>
      </c>
      <c r="AA17" s="275">
        <f t="shared" ref="AA17:AB17" si="4">SUM(AA9:AA16)</f>
        <v>800</v>
      </c>
      <c r="AB17" s="275">
        <f t="shared" si="4"/>
        <v>1635.72</v>
      </c>
      <c r="AC17" s="275">
        <f>SUM(AC9:AC16)</f>
        <v>15897.08</v>
      </c>
      <c r="AD17" s="209"/>
      <c r="AE17" s="208">
        <f>SUM(AE9:AE16)</f>
        <v>21008.9</v>
      </c>
    </row>
    <row r="18" spans="1:31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276">
        <f>IF(AC17='R&amp;P Accounts'!D21,0,"cross ref error")</f>
        <v>0</v>
      </c>
      <c r="AD18" s="96"/>
    </row>
    <row r="19" spans="1:31" ht="29.25" customHeight="1" x14ac:dyDescent="0.3">
      <c r="A19" s="67" t="s">
        <v>92</v>
      </c>
    </row>
    <row r="20" spans="1:31" ht="16.5" customHeight="1" x14ac:dyDescent="0.3">
      <c r="A20" s="85" t="s">
        <v>27</v>
      </c>
      <c r="C20" s="147"/>
      <c r="D20" s="123"/>
      <c r="E20" s="147"/>
      <c r="F20" s="123"/>
      <c r="G20" s="147"/>
      <c r="H20" s="123"/>
      <c r="I20" s="147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207">
        <f t="shared" ref="AC20:AC21" si="5">SUM(C20:Y20)</f>
        <v>0</v>
      </c>
      <c r="AD20" s="147"/>
      <c r="AE20" s="123"/>
    </row>
    <row r="21" spans="1:31" ht="17.25" customHeight="1" thickBot="1" x14ac:dyDescent="0.35">
      <c r="A21" s="85" t="s">
        <v>28</v>
      </c>
      <c r="C21" s="147"/>
      <c r="D21" s="151"/>
      <c r="E21" s="147"/>
      <c r="F21" s="151"/>
      <c r="G21" s="147"/>
      <c r="H21" s="151"/>
      <c r="I21" s="147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207">
        <f t="shared" si="5"/>
        <v>0</v>
      </c>
      <c r="AD21" s="147"/>
      <c r="AE21" s="151"/>
    </row>
    <row r="22" spans="1:31" ht="18" customHeight="1" thickBot="1" x14ac:dyDescent="0.4">
      <c r="A22" s="109" t="s">
        <v>96</v>
      </c>
      <c r="C22" s="147"/>
      <c r="D22" s="277">
        <f>SUM(D20:D21)</f>
        <v>0</v>
      </c>
      <c r="E22" s="147"/>
      <c r="F22" s="277">
        <f>SUM(F20:F21)</f>
        <v>0</v>
      </c>
      <c r="G22" s="147"/>
      <c r="H22" s="277">
        <f>SUM(H20:H21)</f>
        <v>0</v>
      </c>
      <c r="I22" s="147"/>
      <c r="J22" s="277">
        <f>SUM(J20:J21)</f>
        <v>0</v>
      </c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>
        <f>SUM(AC20:AC21)</f>
        <v>0</v>
      </c>
      <c r="AD22" s="147"/>
      <c r="AE22" s="153">
        <f>SUM(AE20:AE21)</f>
        <v>0</v>
      </c>
    </row>
    <row r="23" spans="1:31" ht="5.25" customHeight="1" thickBot="1" x14ac:dyDescent="0.4">
      <c r="A23" s="109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</row>
    <row r="24" spans="1:31" ht="18" customHeight="1" thickBot="1" x14ac:dyDescent="0.4">
      <c r="A24" s="109" t="s">
        <v>97</v>
      </c>
      <c r="C24" s="147"/>
      <c r="D24" s="277">
        <f>D17+D22</f>
        <v>0</v>
      </c>
      <c r="E24" s="277">
        <f t="shared" ref="E24:Y24" si="6">E17+E22</f>
        <v>0</v>
      </c>
      <c r="F24" s="277">
        <f t="shared" si="6"/>
        <v>0</v>
      </c>
      <c r="G24" s="277">
        <f t="shared" si="6"/>
        <v>0</v>
      </c>
      <c r="H24" s="277">
        <f t="shared" si="6"/>
        <v>0</v>
      </c>
      <c r="I24" s="277">
        <f t="shared" si="6"/>
        <v>0</v>
      </c>
      <c r="J24" s="277">
        <f t="shared" si="6"/>
        <v>0</v>
      </c>
      <c r="K24" s="277">
        <f t="shared" si="6"/>
        <v>0</v>
      </c>
      <c r="L24" s="277">
        <f t="shared" si="6"/>
        <v>0</v>
      </c>
      <c r="M24" s="277">
        <f t="shared" si="6"/>
        <v>0</v>
      </c>
      <c r="N24" s="277">
        <f t="shared" si="6"/>
        <v>0</v>
      </c>
      <c r="O24" s="277">
        <f t="shared" si="6"/>
        <v>0</v>
      </c>
      <c r="P24" s="277">
        <f t="shared" si="6"/>
        <v>0</v>
      </c>
      <c r="Q24" s="277">
        <f t="shared" si="6"/>
        <v>0</v>
      </c>
      <c r="R24" s="277">
        <f t="shared" si="6"/>
        <v>0</v>
      </c>
      <c r="S24" s="277">
        <f t="shared" si="6"/>
        <v>0</v>
      </c>
      <c r="T24" s="277">
        <f t="shared" si="6"/>
        <v>0</v>
      </c>
      <c r="U24" s="277">
        <f t="shared" si="6"/>
        <v>0</v>
      </c>
      <c r="V24" s="277">
        <f t="shared" si="6"/>
        <v>0</v>
      </c>
      <c r="W24" s="277">
        <f t="shared" si="6"/>
        <v>1961.36</v>
      </c>
      <c r="X24" s="277">
        <f t="shared" si="6"/>
        <v>9000</v>
      </c>
      <c r="Y24" s="277">
        <f t="shared" si="6"/>
        <v>0</v>
      </c>
      <c r="Z24" s="277">
        <f t="shared" ref="Z24" si="7">Z17+Z22</f>
        <v>2500</v>
      </c>
      <c r="AA24" s="277">
        <f t="shared" ref="AA24:AB24" si="8">AA17+AA22</f>
        <v>800</v>
      </c>
      <c r="AB24" s="277">
        <f t="shared" si="8"/>
        <v>1635.72</v>
      </c>
      <c r="AC24" s="277">
        <f>AC17+AC22</f>
        <v>15897.08</v>
      </c>
      <c r="AD24" s="147"/>
      <c r="AE24" s="153">
        <f>AE17+AE22</f>
        <v>21008.9</v>
      </c>
    </row>
    <row r="25" spans="1:31" ht="19.5" customHeight="1" x14ac:dyDescent="0.25">
      <c r="AC25" s="204">
        <f>IF(AC24='R&amp;P Accounts'!D28,0,"cross ref error")</f>
        <v>0</v>
      </c>
    </row>
    <row r="26" spans="1:31" ht="19.5" customHeight="1" x14ac:dyDescent="0.25"/>
    <row r="27" spans="1:31" ht="19.5" customHeight="1" x14ac:dyDescent="0.25">
      <c r="A27" s="27" t="s">
        <v>93</v>
      </c>
    </row>
    <row r="28" spans="1:31" ht="17.25" customHeight="1" x14ac:dyDescent="0.3">
      <c r="A28" s="86" t="s">
        <v>29</v>
      </c>
      <c r="C28" s="147"/>
      <c r="D28" s="123"/>
      <c r="E28" s="147"/>
      <c r="F28" s="123"/>
      <c r="G28" s="147"/>
      <c r="H28" s="123"/>
      <c r="I28" s="147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207">
        <f t="shared" ref="AC28:AC38" si="9">SUM(C28:Y28)</f>
        <v>0</v>
      </c>
      <c r="AD28" s="147"/>
      <c r="AE28" s="123"/>
    </row>
    <row r="29" spans="1:31" ht="16.5" customHeight="1" x14ac:dyDescent="0.3">
      <c r="A29" s="86" t="s">
        <v>114</v>
      </c>
      <c r="C29" s="147"/>
      <c r="D29" s="123"/>
      <c r="E29" s="147"/>
      <c r="F29" s="123"/>
      <c r="G29" s="147"/>
      <c r="H29" s="123"/>
      <c r="I29" s="147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207">
        <f t="shared" si="9"/>
        <v>0</v>
      </c>
      <c r="AD29" s="147"/>
      <c r="AE29" s="123"/>
    </row>
    <row r="30" spans="1:31" ht="17.25" customHeight="1" x14ac:dyDescent="0.3">
      <c r="A30" s="86" t="s">
        <v>30</v>
      </c>
      <c r="C30" s="147"/>
      <c r="D30" s="213"/>
      <c r="E30" s="147"/>
      <c r="F30" s="213"/>
      <c r="G30" s="147"/>
      <c r="H30" s="213"/>
      <c r="I30" s="147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07">
        <f t="shared" si="9"/>
        <v>0</v>
      </c>
      <c r="AD30" s="147"/>
      <c r="AE30" s="149"/>
    </row>
    <row r="31" spans="1:31" ht="17.25" customHeight="1" x14ac:dyDescent="0.3">
      <c r="A31" s="86" t="s">
        <v>31</v>
      </c>
      <c r="C31" s="147"/>
      <c r="D31" s="213"/>
      <c r="E31" s="147"/>
      <c r="F31" s="213"/>
      <c r="G31" s="147"/>
      <c r="H31" s="213"/>
      <c r="I31" s="147"/>
      <c r="J31" s="213">
        <v>6</v>
      </c>
      <c r="K31" s="213">
        <v>193</v>
      </c>
      <c r="L31" s="213"/>
      <c r="M31" s="213"/>
      <c r="N31" s="213">
        <v>104.91</v>
      </c>
      <c r="O31" s="213">
        <v>52.79</v>
      </c>
      <c r="P31" s="213"/>
      <c r="Q31" s="213">
        <v>963.49</v>
      </c>
      <c r="R31" s="213">
        <v>29</v>
      </c>
      <c r="S31" s="213"/>
      <c r="T31" s="213">
        <v>119.8</v>
      </c>
      <c r="U31" s="213"/>
      <c r="V31" s="213"/>
      <c r="W31" s="213">
        <f>502+7737.74</f>
        <v>8239.74</v>
      </c>
      <c r="X31" s="213">
        <f>2361.74+8839.36</f>
        <v>11201.1</v>
      </c>
      <c r="Y31" s="213">
        <v>357.09</v>
      </c>
      <c r="Z31" s="213">
        <v>2500</v>
      </c>
      <c r="AA31" s="213">
        <v>800</v>
      </c>
      <c r="AB31" s="213"/>
      <c r="AC31" s="207">
        <f>SUM(C31:AA31)</f>
        <v>24566.920000000002</v>
      </c>
      <c r="AD31" s="147"/>
      <c r="AE31" s="149">
        <v>13544.87</v>
      </c>
    </row>
    <row r="32" spans="1:31" ht="17.25" customHeight="1" x14ac:dyDescent="0.3">
      <c r="A32" s="86" t="s">
        <v>32</v>
      </c>
      <c r="C32" s="147"/>
      <c r="D32" s="213"/>
      <c r="E32" s="147"/>
      <c r="F32" s="213"/>
      <c r="G32" s="147"/>
      <c r="H32" s="213"/>
      <c r="I32" s="147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07">
        <f t="shared" si="9"/>
        <v>0</v>
      </c>
      <c r="AD32" s="147"/>
      <c r="AE32" s="149"/>
    </row>
    <row r="33" spans="1:31" ht="17.25" customHeight="1" x14ac:dyDescent="0.3">
      <c r="A33" s="86" t="s">
        <v>33</v>
      </c>
      <c r="C33" s="147"/>
      <c r="D33" s="149"/>
      <c r="E33" s="147"/>
      <c r="F33" s="149"/>
      <c r="G33" s="147"/>
      <c r="H33" s="149"/>
      <c r="I33" s="147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207">
        <f t="shared" si="9"/>
        <v>0</v>
      </c>
      <c r="AD33" s="147"/>
      <c r="AE33" s="149"/>
    </row>
    <row r="34" spans="1:31" ht="17.25" customHeight="1" x14ac:dyDescent="0.3">
      <c r="A34" s="87" t="s">
        <v>34</v>
      </c>
      <c r="C34" s="147"/>
      <c r="D34" s="149"/>
      <c r="E34" s="147"/>
      <c r="F34" s="149"/>
      <c r="G34" s="147"/>
      <c r="H34" s="149"/>
      <c r="I34" s="147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207">
        <f t="shared" si="9"/>
        <v>0</v>
      </c>
      <c r="AD34" s="147"/>
      <c r="AE34" s="149"/>
    </row>
    <row r="35" spans="1:31" ht="17.25" customHeight="1" x14ac:dyDescent="0.3">
      <c r="A35" s="87" t="s">
        <v>35</v>
      </c>
      <c r="C35" s="147"/>
      <c r="D35" s="149"/>
      <c r="E35" s="147"/>
      <c r="F35" s="149"/>
      <c r="G35" s="147"/>
      <c r="H35" s="149"/>
      <c r="I35" s="147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207">
        <f t="shared" si="9"/>
        <v>0</v>
      </c>
      <c r="AD35" s="147"/>
      <c r="AE35" s="149"/>
    </row>
    <row r="36" spans="1:31" ht="17.25" customHeight="1" x14ac:dyDescent="0.3">
      <c r="A36" s="87" t="s">
        <v>36</v>
      </c>
      <c r="C36" s="147"/>
      <c r="D36" s="149"/>
      <c r="E36" s="147"/>
      <c r="F36" s="149"/>
      <c r="G36" s="147"/>
      <c r="H36" s="149"/>
      <c r="I36" s="147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207">
        <f t="shared" si="9"/>
        <v>0</v>
      </c>
      <c r="AD36" s="147"/>
      <c r="AE36" s="149"/>
    </row>
    <row r="37" spans="1:31" ht="17.25" customHeight="1" x14ac:dyDescent="0.3">
      <c r="A37" s="86"/>
      <c r="C37" s="147"/>
      <c r="D37" s="149"/>
      <c r="E37" s="147"/>
      <c r="F37" s="149"/>
      <c r="G37" s="147"/>
      <c r="H37" s="149"/>
      <c r="I37" s="147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207">
        <f t="shared" si="9"/>
        <v>0</v>
      </c>
      <c r="AD37" s="147"/>
      <c r="AE37" s="149"/>
    </row>
    <row r="38" spans="1:31" ht="17.25" customHeight="1" thickBot="1" x14ac:dyDescent="0.35">
      <c r="A38" s="110"/>
      <c r="C38" s="147"/>
      <c r="D38" s="149"/>
      <c r="E38" s="147"/>
      <c r="F38" s="149"/>
      <c r="G38" s="147"/>
      <c r="H38" s="149"/>
      <c r="I38" s="147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207">
        <f t="shared" si="9"/>
        <v>0</v>
      </c>
      <c r="AD38" s="147"/>
      <c r="AE38" s="149"/>
    </row>
    <row r="39" spans="1:31" ht="17.25" customHeight="1" thickBot="1" x14ac:dyDescent="0.35">
      <c r="A39" s="13" t="s">
        <v>96</v>
      </c>
      <c r="C39" s="147"/>
      <c r="D39" s="146">
        <f>SUM(D28:D38)</f>
        <v>0</v>
      </c>
      <c r="E39" s="147"/>
      <c r="F39" s="146">
        <f>SUM(F28:F38)</f>
        <v>0</v>
      </c>
      <c r="G39" s="147"/>
      <c r="H39" s="146">
        <f>SUM(H28:H38)</f>
        <v>0</v>
      </c>
      <c r="I39" s="147"/>
      <c r="J39" s="146">
        <f>SUM(J28:J38)</f>
        <v>6</v>
      </c>
      <c r="K39" s="146">
        <f t="shared" ref="K39:R39" si="10">SUM(K28:K38)</f>
        <v>193</v>
      </c>
      <c r="L39" s="146">
        <f t="shared" si="10"/>
        <v>0</v>
      </c>
      <c r="M39" s="146">
        <f t="shared" si="10"/>
        <v>0</v>
      </c>
      <c r="N39" s="146">
        <f t="shared" si="10"/>
        <v>104.91</v>
      </c>
      <c r="O39" s="146">
        <f t="shared" si="10"/>
        <v>52.79</v>
      </c>
      <c r="P39" s="146">
        <f t="shared" si="10"/>
        <v>0</v>
      </c>
      <c r="Q39" s="146">
        <f t="shared" si="10"/>
        <v>963.49</v>
      </c>
      <c r="R39" s="146">
        <f t="shared" si="10"/>
        <v>29</v>
      </c>
      <c r="S39" s="146">
        <f t="shared" ref="S39:Y39" si="11">SUM(S28:S38)</f>
        <v>0</v>
      </c>
      <c r="T39" s="146">
        <f t="shared" si="11"/>
        <v>119.8</v>
      </c>
      <c r="U39" s="146">
        <f t="shared" si="11"/>
        <v>0</v>
      </c>
      <c r="V39" s="146">
        <f t="shared" si="11"/>
        <v>0</v>
      </c>
      <c r="W39" s="146">
        <f t="shared" si="11"/>
        <v>8239.74</v>
      </c>
      <c r="X39" s="146">
        <f t="shared" si="11"/>
        <v>11201.1</v>
      </c>
      <c r="Y39" s="146">
        <f t="shared" si="11"/>
        <v>357.09</v>
      </c>
      <c r="Z39" s="146">
        <f t="shared" ref="Z39" si="12">SUM(Z28:Z38)</f>
        <v>2500</v>
      </c>
      <c r="AA39" s="146">
        <f t="shared" ref="AA39:AB39" si="13">SUM(AA28:AA38)</f>
        <v>800</v>
      </c>
      <c r="AB39" s="146">
        <f t="shared" si="13"/>
        <v>0</v>
      </c>
      <c r="AC39" s="146">
        <f>SUM(AC28:AC38)</f>
        <v>24566.920000000002</v>
      </c>
      <c r="AD39" s="147"/>
      <c r="AE39" s="146">
        <f>SUM(AE28:AE38)</f>
        <v>13544.87</v>
      </c>
    </row>
    <row r="40" spans="1:31" x14ac:dyDescent="0.25">
      <c r="AC40" s="204">
        <f>IF(AC39='R&amp;P Accounts'!D42,0,"cross ref error")</f>
        <v>0</v>
      </c>
    </row>
    <row r="41" spans="1:31" ht="28" x14ac:dyDescent="0.3">
      <c r="A41" s="67" t="s">
        <v>94</v>
      </c>
    </row>
    <row r="42" spans="1:31" ht="17.25" customHeight="1" x14ac:dyDescent="0.3">
      <c r="A42" s="86" t="s">
        <v>37</v>
      </c>
      <c r="C42" s="147"/>
      <c r="D42" s="149"/>
      <c r="E42" s="147"/>
      <c r="F42" s="149"/>
      <c r="G42" s="147"/>
      <c r="H42" s="149"/>
      <c r="I42" s="147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207">
        <f t="shared" ref="AC42:AC43" si="14">SUM(C42:Y42)</f>
        <v>0</v>
      </c>
      <c r="AD42" s="147"/>
      <c r="AE42" s="149"/>
    </row>
    <row r="43" spans="1:31" ht="17.25" customHeight="1" thickBot="1" x14ac:dyDescent="0.35">
      <c r="A43" s="86" t="s">
        <v>38</v>
      </c>
      <c r="C43" s="147"/>
      <c r="D43" s="149"/>
      <c r="E43" s="147"/>
      <c r="F43" s="149"/>
      <c r="G43" s="147"/>
      <c r="H43" s="149"/>
      <c r="I43" s="147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207">
        <f t="shared" si="14"/>
        <v>0</v>
      </c>
      <c r="AD43" s="147"/>
      <c r="AE43" s="149"/>
    </row>
    <row r="44" spans="1:31" ht="17.25" customHeight="1" thickBot="1" x14ac:dyDescent="0.35">
      <c r="A44" s="13" t="s">
        <v>95</v>
      </c>
      <c r="C44" s="147"/>
      <c r="D44" s="146">
        <f>D42+D43</f>
        <v>0</v>
      </c>
      <c r="E44" s="147"/>
      <c r="F44" s="146">
        <f>F42+F43</f>
        <v>0</v>
      </c>
      <c r="G44" s="147"/>
      <c r="H44" s="146">
        <f>H42+H43</f>
        <v>0</v>
      </c>
      <c r="I44" s="147"/>
      <c r="J44" s="146">
        <f>J42+J43</f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>
        <f>AC42+AC43</f>
        <v>0</v>
      </c>
      <c r="AD44" s="147"/>
      <c r="AE44" s="146">
        <f>AE42+AE43</f>
        <v>0</v>
      </c>
    </row>
    <row r="45" spans="1:31" ht="13" thickBot="1" x14ac:dyDescent="0.3">
      <c r="AC45" s="204">
        <f>IF(AC44='R&amp;P Accounts'!D47,0,"cross ref error")</f>
        <v>0</v>
      </c>
    </row>
    <row r="46" spans="1:31" ht="17.25" customHeight="1" thickBot="1" x14ac:dyDescent="0.35">
      <c r="A46" s="111" t="s">
        <v>12</v>
      </c>
      <c r="C46" s="147"/>
      <c r="D46" s="146">
        <f>+D44+D39</f>
        <v>0</v>
      </c>
      <c r="E46" s="147"/>
      <c r="F46" s="146">
        <f>+F44+F39</f>
        <v>0</v>
      </c>
      <c r="G46" s="147"/>
      <c r="H46" s="146">
        <f>+H44+H39</f>
        <v>0</v>
      </c>
      <c r="I46" s="147"/>
      <c r="J46" s="146">
        <f>+J44+J39</f>
        <v>6</v>
      </c>
      <c r="K46" s="146">
        <f t="shared" ref="K46:Q46" si="15">+K44+K39</f>
        <v>193</v>
      </c>
      <c r="L46" s="146">
        <f t="shared" si="15"/>
        <v>0</v>
      </c>
      <c r="M46" s="146">
        <f t="shared" si="15"/>
        <v>0</v>
      </c>
      <c r="N46" s="146">
        <f t="shared" si="15"/>
        <v>104.91</v>
      </c>
      <c r="O46" s="146">
        <f t="shared" si="15"/>
        <v>52.79</v>
      </c>
      <c r="P46" s="146">
        <f t="shared" si="15"/>
        <v>0</v>
      </c>
      <c r="Q46" s="146">
        <f t="shared" si="15"/>
        <v>963.49</v>
      </c>
      <c r="R46" s="146">
        <f t="shared" ref="R46:Y46" si="16">+R44+R39</f>
        <v>29</v>
      </c>
      <c r="S46" s="146">
        <f t="shared" si="16"/>
        <v>0</v>
      </c>
      <c r="T46" s="146">
        <f t="shared" si="16"/>
        <v>119.8</v>
      </c>
      <c r="U46" s="146">
        <f t="shared" si="16"/>
        <v>0</v>
      </c>
      <c r="V46" s="146">
        <f t="shared" si="16"/>
        <v>0</v>
      </c>
      <c r="W46" s="146">
        <f t="shared" si="16"/>
        <v>8239.74</v>
      </c>
      <c r="X46" s="146">
        <f t="shared" si="16"/>
        <v>11201.1</v>
      </c>
      <c r="Y46" s="146">
        <f t="shared" si="16"/>
        <v>357.09</v>
      </c>
      <c r="Z46" s="146">
        <f t="shared" ref="Z46" si="17">+Z44+Z39</f>
        <v>2500</v>
      </c>
      <c r="AA46" s="146">
        <f t="shared" ref="AA46:AB46" si="18">+AA44+AA39</f>
        <v>800</v>
      </c>
      <c r="AB46" s="146">
        <f t="shared" si="18"/>
        <v>0</v>
      </c>
      <c r="AC46" s="146">
        <f>+AC44+AC39</f>
        <v>24566.920000000002</v>
      </c>
      <c r="AD46" s="147"/>
      <c r="AE46" s="146">
        <f>+AE44+AE39</f>
        <v>13544.87</v>
      </c>
    </row>
    <row r="47" spans="1:31" ht="13" thickBot="1" x14ac:dyDescent="0.3">
      <c r="AC47" s="204">
        <f>IF(AC46='R&amp;P Accounts'!D49,0,"cross ref error")</f>
        <v>0</v>
      </c>
    </row>
    <row r="48" spans="1:31" ht="17.25" customHeight="1" thickBot="1" x14ac:dyDescent="0.35">
      <c r="A48" s="40" t="s">
        <v>105</v>
      </c>
      <c r="C48" s="145"/>
      <c r="D48" s="144">
        <f>+D24-D46</f>
        <v>0</v>
      </c>
      <c r="E48" s="145"/>
      <c r="F48" s="144">
        <f>+F24-F46</f>
        <v>0</v>
      </c>
      <c r="G48" s="145"/>
      <c r="H48" s="144">
        <f>+H24-H46</f>
        <v>0</v>
      </c>
      <c r="I48" s="145"/>
      <c r="J48" s="144">
        <f>+J24-J46</f>
        <v>-6</v>
      </c>
      <c r="K48" s="144">
        <f t="shared" ref="K48:Q48" si="19">+K24-K46</f>
        <v>-193</v>
      </c>
      <c r="L48" s="144">
        <f t="shared" si="19"/>
        <v>0</v>
      </c>
      <c r="M48" s="144">
        <f t="shared" si="19"/>
        <v>0</v>
      </c>
      <c r="N48" s="144">
        <f t="shared" si="19"/>
        <v>-104.91</v>
      </c>
      <c r="O48" s="144">
        <f t="shared" si="19"/>
        <v>-52.79</v>
      </c>
      <c r="P48" s="144">
        <f t="shared" si="19"/>
        <v>0</v>
      </c>
      <c r="Q48" s="144">
        <f t="shared" si="19"/>
        <v>-963.49</v>
      </c>
      <c r="R48" s="144">
        <f t="shared" ref="R48:Y48" si="20">+R24-R46</f>
        <v>-29</v>
      </c>
      <c r="S48" s="144">
        <f t="shared" si="20"/>
        <v>0</v>
      </c>
      <c r="T48" s="144">
        <f t="shared" si="20"/>
        <v>-119.8</v>
      </c>
      <c r="U48" s="144">
        <f t="shared" si="20"/>
        <v>0</v>
      </c>
      <c r="V48" s="144">
        <f t="shared" si="20"/>
        <v>0</v>
      </c>
      <c r="W48" s="144">
        <f t="shared" si="20"/>
        <v>-6278.38</v>
      </c>
      <c r="X48" s="144">
        <f t="shared" si="20"/>
        <v>-2201.1000000000004</v>
      </c>
      <c r="Y48" s="144">
        <f t="shared" si="20"/>
        <v>-357.09</v>
      </c>
      <c r="Z48" s="144">
        <f t="shared" ref="Z48:AA48" si="21">+Z24-Z46</f>
        <v>0</v>
      </c>
      <c r="AA48" s="144">
        <f t="shared" si="21"/>
        <v>0</v>
      </c>
      <c r="AB48" s="144">
        <f t="shared" ref="AB48" si="22">+AB24-AB46</f>
        <v>1635.72</v>
      </c>
      <c r="AC48" s="144">
        <f>+AC24-AC46</f>
        <v>-8669.840000000002</v>
      </c>
      <c r="AD48" s="145"/>
      <c r="AE48" s="144">
        <f>+AE24-AE46</f>
        <v>7464.0300000000007</v>
      </c>
    </row>
    <row r="49" spans="1:33" ht="14.25" customHeight="1" thickBot="1" x14ac:dyDescent="0.35">
      <c r="A49" s="40"/>
      <c r="C49" s="145"/>
      <c r="D49" s="205"/>
      <c r="E49" s="145"/>
      <c r="F49" s="205"/>
      <c r="G49" s="145"/>
      <c r="H49" s="205"/>
      <c r="I49" s="14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145"/>
      <c r="AE49" s="205"/>
    </row>
    <row r="50" spans="1:33" s="131" customFormat="1" ht="17.25" customHeight="1" thickBot="1" x14ac:dyDescent="0.35">
      <c r="A50" s="97" t="s">
        <v>121</v>
      </c>
      <c r="C50" s="145"/>
      <c r="D50" s="206"/>
      <c r="E50" s="145"/>
      <c r="F50" s="206"/>
      <c r="G50" s="145"/>
      <c r="H50" s="206"/>
      <c r="I50" s="145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>
        <f>SUM(C50:D50)</f>
        <v>0</v>
      </c>
      <c r="AD50" s="145"/>
      <c r="AE50" s="206"/>
    </row>
    <row r="51" spans="1:33" ht="14.25" customHeight="1" thickBot="1" x14ac:dyDescent="0.35">
      <c r="A51" s="11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</row>
    <row r="52" spans="1:33" ht="17.25" customHeight="1" thickBot="1" x14ac:dyDescent="0.35">
      <c r="A52" s="13" t="s">
        <v>42</v>
      </c>
      <c r="C52" s="145"/>
      <c r="D52" s="144">
        <f>D48+D50</f>
        <v>0</v>
      </c>
      <c r="E52" s="145"/>
      <c r="F52" s="144">
        <f>F48+F50</f>
        <v>0</v>
      </c>
      <c r="G52" s="145"/>
      <c r="H52" s="144">
        <f>H48+H50</f>
        <v>0</v>
      </c>
      <c r="I52" s="145"/>
      <c r="J52" s="144">
        <f>J48+J50</f>
        <v>-6</v>
      </c>
      <c r="K52" s="144">
        <f t="shared" ref="K52:Q52" si="23">K48+K50</f>
        <v>-193</v>
      </c>
      <c r="L52" s="144">
        <f t="shared" si="23"/>
        <v>0</v>
      </c>
      <c r="M52" s="144">
        <f t="shared" si="23"/>
        <v>0</v>
      </c>
      <c r="N52" s="144">
        <f t="shared" si="23"/>
        <v>-104.91</v>
      </c>
      <c r="O52" s="144">
        <f t="shared" si="23"/>
        <v>-52.79</v>
      </c>
      <c r="P52" s="144">
        <f t="shared" si="23"/>
        <v>0</v>
      </c>
      <c r="Q52" s="144">
        <f t="shared" si="23"/>
        <v>-963.49</v>
      </c>
      <c r="R52" s="144">
        <f t="shared" ref="R52:Y52" si="24">R48+R50</f>
        <v>-29</v>
      </c>
      <c r="S52" s="144">
        <f t="shared" si="24"/>
        <v>0</v>
      </c>
      <c r="T52" s="144">
        <f t="shared" si="24"/>
        <v>-119.8</v>
      </c>
      <c r="U52" s="144">
        <f t="shared" si="24"/>
        <v>0</v>
      </c>
      <c r="V52" s="144">
        <f t="shared" si="24"/>
        <v>0</v>
      </c>
      <c r="W52" s="144">
        <f t="shared" si="24"/>
        <v>-6278.38</v>
      </c>
      <c r="X52" s="144">
        <f t="shared" si="24"/>
        <v>-2201.1000000000004</v>
      </c>
      <c r="Y52" s="144">
        <f t="shared" si="24"/>
        <v>-357.09</v>
      </c>
      <c r="Z52" s="144">
        <f t="shared" ref="Z52" si="25">Z48+Z50</f>
        <v>0</v>
      </c>
      <c r="AA52" s="144">
        <f t="shared" ref="AA52:AB52" si="26">AA48+AA50</f>
        <v>0</v>
      </c>
      <c r="AB52" s="144">
        <f t="shared" si="26"/>
        <v>1635.72</v>
      </c>
      <c r="AC52" s="144">
        <f>AC48+AC50</f>
        <v>-8669.840000000002</v>
      </c>
      <c r="AD52" s="145"/>
      <c r="AE52" s="144">
        <f>AE48+AE50</f>
        <v>7464.0300000000007</v>
      </c>
    </row>
    <row r="53" spans="1:33" x14ac:dyDescent="0.25">
      <c r="AC53" s="204">
        <f>IF(AC52='R&amp;P Accounts'!D55,0,"cross ref error")</f>
        <v>0</v>
      </c>
    </row>
    <row r="54" spans="1:33" x14ac:dyDescent="0.25">
      <c r="AG54" s="251"/>
    </row>
    <row r="55" spans="1:33" ht="15.5" x14ac:dyDescent="0.35">
      <c r="A55" s="168" t="s">
        <v>107</v>
      </c>
      <c r="D55" s="215" t="s">
        <v>166</v>
      </c>
    </row>
    <row r="56" spans="1:33" x14ac:dyDescent="0.25">
      <c r="A56" s="403" t="s">
        <v>208</v>
      </c>
      <c r="B56" s="404"/>
      <c r="C56" s="404"/>
      <c r="D56" s="404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5"/>
    </row>
    <row r="57" spans="1:33" x14ac:dyDescent="0.25">
      <c r="A57" s="406"/>
      <c r="B57" s="407"/>
      <c r="C57" s="407"/>
      <c r="D57" s="407"/>
      <c r="E57" s="407"/>
      <c r="F57" s="407"/>
      <c r="G57" s="407"/>
      <c r="H57" s="407"/>
      <c r="I57" s="407"/>
      <c r="J57" s="407"/>
      <c r="K57" s="407"/>
      <c r="L57" s="407"/>
      <c r="M57" s="407"/>
      <c r="N57" s="407"/>
      <c r="O57" s="407"/>
      <c r="P57" s="407"/>
      <c r="Q57" s="407"/>
      <c r="R57" s="407"/>
      <c r="S57" s="407"/>
      <c r="T57" s="407"/>
      <c r="U57" s="407"/>
      <c r="V57" s="407"/>
      <c r="W57" s="407"/>
      <c r="X57" s="407"/>
      <c r="Y57" s="407"/>
      <c r="Z57" s="407"/>
      <c r="AA57" s="407"/>
      <c r="AB57" s="407"/>
      <c r="AC57" s="407"/>
      <c r="AD57" s="407"/>
      <c r="AE57" s="408"/>
    </row>
    <row r="58" spans="1:33" x14ac:dyDescent="0.25">
      <c r="A58" s="406"/>
      <c r="B58" s="407"/>
      <c r="C58" s="407"/>
      <c r="D58" s="407"/>
      <c r="E58" s="407"/>
      <c r="F58" s="407"/>
      <c r="G58" s="407"/>
      <c r="H58" s="407"/>
      <c r="I58" s="407"/>
      <c r="J58" s="407"/>
      <c r="K58" s="407"/>
      <c r="L58" s="407"/>
      <c r="M58" s="407"/>
      <c r="N58" s="407"/>
      <c r="O58" s="407"/>
      <c r="P58" s="407"/>
      <c r="Q58" s="407"/>
      <c r="R58" s="407"/>
      <c r="S58" s="407"/>
      <c r="T58" s="407"/>
      <c r="U58" s="407"/>
      <c r="V58" s="407"/>
      <c r="W58" s="407"/>
      <c r="X58" s="407"/>
      <c r="Y58" s="407"/>
      <c r="Z58" s="407"/>
      <c r="AA58" s="407"/>
      <c r="AB58" s="407"/>
      <c r="AC58" s="407"/>
      <c r="AD58" s="407"/>
      <c r="AE58" s="408"/>
    </row>
    <row r="59" spans="1:33" x14ac:dyDescent="0.25">
      <c r="A59" s="406"/>
      <c r="B59" s="407"/>
      <c r="C59" s="407"/>
      <c r="D59" s="407"/>
      <c r="E59" s="407"/>
      <c r="F59" s="407"/>
      <c r="G59" s="407"/>
      <c r="H59" s="407"/>
      <c r="I59" s="407"/>
      <c r="J59" s="407"/>
      <c r="K59" s="407"/>
      <c r="L59" s="407"/>
      <c r="M59" s="407"/>
      <c r="N59" s="407"/>
      <c r="O59" s="407"/>
      <c r="P59" s="407"/>
      <c r="Q59" s="407"/>
      <c r="R59" s="407"/>
      <c r="S59" s="407"/>
      <c r="T59" s="407"/>
      <c r="U59" s="407"/>
      <c r="V59" s="407"/>
      <c r="W59" s="407"/>
      <c r="X59" s="407"/>
      <c r="Y59" s="407"/>
      <c r="Z59" s="407"/>
      <c r="AA59" s="407"/>
      <c r="AB59" s="407"/>
      <c r="AC59" s="407"/>
      <c r="AD59" s="407"/>
      <c r="AE59" s="408"/>
    </row>
    <row r="60" spans="1:33" x14ac:dyDescent="0.25">
      <c r="A60" s="406"/>
      <c r="B60" s="407"/>
      <c r="C60" s="407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407"/>
      <c r="U60" s="407"/>
      <c r="V60" s="407"/>
      <c r="W60" s="407"/>
      <c r="X60" s="407"/>
      <c r="Y60" s="407"/>
      <c r="Z60" s="407"/>
      <c r="AA60" s="407"/>
      <c r="AB60" s="407"/>
      <c r="AC60" s="407"/>
      <c r="AD60" s="407"/>
      <c r="AE60" s="408"/>
    </row>
    <row r="61" spans="1:33" x14ac:dyDescent="0.25">
      <c r="A61" s="406"/>
      <c r="B61" s="407"/>
      <c r="C61" s="407"/>
      <c r="D61" s="407"/>
      <c r="E61" s="407"/>
      <c r="F61" s="407"/>
      <c r="G61" s="407"/>
      <c r="H61" s="407"/>
      <c r="I61" s="407"/>
      <c r="J61" s="407"/>
      <c r="K61" s="407"/>
      <c r="L61" s="407"/>
      <c r="M61" s="407"/>
      <c r="N61" s="407"/>
      <c r="O61" s="407"/>
      <c r="P61" s="407"/>
      <c r="Q61" s="407"/>
      <c r="R61" s="407"/>
      <c r="S61" s="407"/>
      <c r="T61" s="407"/>
      <c r="U61" s="407"/>
      <c r="V61" s="407"/>
      <c r="W61" s="407"/>
      <c r="X61" s="407"/>
      <c r="Y61" s="407"/>
      <c r="Z61" s="407"/>
      <c r="AA61" s="407"/>
      <c r="AB61" s="407"/>
      <c r="AC61" s="407"/>
      <c r="AD61" s="407"/>
      <c r="AE61" s="408"/>
    </row>
    <row r="62" spans="1:33" x14ac:dyDescent="0.25">
      <c r="A62" s="406"/>
      <c r="B62" s="407"/>
      <c r="C62" s="407"/>
      <c r="D62" s="407"/>
      <c r="E62" s="407"/>
      <c r="F62" s="407"/>
      <c r="G62" s="407"/>
      <c r="H62" s="407"/>
      <c r="I62" s="407"/>
      <c r="J62" s="407"/>
      <c r="K62" s="407"/>
      <c r="L62" s="407"/>
      <c r="M62" s="407"/>
      <c r="N62" s="407"/>
      <c r="O62" s="407"/>
      <c r="P62" s="407"/>
      <c r="Q62" s="407"/>
      <c r="R62" s="407"/>
      <c r="S62" s="407"/>
      <c r="T62" s="407"/>
      <c r="U62" s="407"/>
      <c r="V62" s="407"/>
      <c r="W62" s="407"/>
      <c r="X62" s="407"/>
      <c r="Y62" s="407"/>
      <c r="Z62" s="407"/>
      <c r="AA62" s="407"/>
      <c r="AB62" s="407"/>
      <c r="AC62" s="407"/>
      <c r="AD62" s="407"/>
      <c r="AE62" s="408"/>
    </row>
    <row r="63" spans="1:33" x14ac:dyDescent="0.25">
      <c r="A63" s="406"/>
      <c r="B63" s="407"/>
      <c r="C63" s="407"/>
      <c r="D63" s="407"/>
      <c r="E63" s="407"/>
      <c r="F63" s="407"/>
      <c r="G63" s="407"/>
      <c r="H63" s="407"/>
      <c r="I63" s="407"/>
      <c r="J63" s="407"/>
      <c r="K63" s="407"/>
      <c r="L63" s="407"/>
      <c r="M63" s="407"/>
      <c r="N63" s="407"/>
      <c r="O63" s="407"/>
      <c r="P63" s="407"/>
      <c r="Q63" s="407"/>
      <c r="R63" s="407"/>
      <c r="S63" s="407"/>
      <c r="T63" s="407"/>
      <c r="U63" s="407"/>
      <c r="V63" s="407"/>
      <c r="W63" s="407"/>
      <c r="X63" s="407"/>
      <c r="Y63" s="407"/>
      <c r="Z63" s="407"/>
      <c r="AA63" s="407"/>
      <c r="AB63" s="407"/>
      <c r="AC63" s="407"/>
      <c r="AD63" s="407"/>
      <c r="AE63" s="408"/>
    </row>
    <row r="64" spans="1:33" x14ac:dyDescent="0.25">
      <c r="A64" s="409"/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1"/>
    </row>
    <row r="65" spans="1:31" ht="49" customHeight="1" x14ac:dyDescent="0.25">
      <c r="A65" s="215"/>
    </row>
    <row r="66" spans="1:31" x14ac:dyDescent="0.25">
      <c r="A66" s="215"/>
    </row>
    <row r="67" spans="1:31" x14ac:dyDescent="0.25"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</row>
    <row r="68" spans="1:31" x14ac:dyDescent="0.25"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</row>
  </sheetData>
  <mergeCells count="7">
    <mergeCell ref="A56:AE64"/>
    <mergeCell ref="C1:AC1"/>
    <mergeCell ref="A5:B5"/>
    <mergeCell ref="A4:AD4"/>
    <mergeCell ref="AE1:AF1"/>
    <mergeCell ref="A2:AD2"/>
    <mergeCell ref="C3:AC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B333687-6E74-4EFC-A8BB-66237B9BCEA4}"/>
</file>

<file path=customXml/itemProps2.xml><?xml version="1.0" encoding="utf-8"?>
<ds:datastoreItem xmlns:ds="http://schemas.openxmlformats.org/officeDocument/2006/customXml" ds:itemID="{D8563818-9375-429D-9116-716E2B92263C}"/>
</file>

<file path=customXml/itemProps3.xml><?xml version="1.0" encoding="utf-8"?>
<ds:datastoreItem xmlns:ds="http://schemas.openxmlformats.org/officeDocument/2006/customXml" ds:itemID="{560E647E-2CEB-4ECA-B9A5-900791F0B482}"/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Mark Davidson</cp:lastModifiedBy>
  <cp:lastPrinted>2007-12-14T14:44:53Z</cp:lastPrinted>
  <dcterms:created xsi:type="dcterms:W3CDTF">2007-04-10T16:51:52Z</dcterms:created>
  <dcterms:modified xsi:type="dcterms:W3CDTF">2026-06-04T18:03:31Z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Jet Reports Function Literals">
    <vt:lpwstr>,	;	,	{	}	[@[{0}]]	1033	2057</vt:lpwstr>
  </property>
  <property fmtid="{D5CDD505-2E9C-101B-9397-08002B2CF9AE}" pid="26" name="MSIP_Label_8caabacf-b917-4a45-9a5f-ed3a53d2eeb7_Enabled">
    <vt:lpwstr>true</vt:lpwstr>
  </property>
  <property fmtid="{D5CDD505-2E9C-101B-9397-08002B2CF9AE}" pid="27" name="MSIP_Label_8caabacf-b917-4a45-9a5f-ed3a53d2eeb7_SetDate">
    <vt:lpwstr>2022-05-18T07:44:50Z</vt:lpwstr>
  </property>
  <property fmtid="{D5CDD505-2E9C-101B-9397-08002B2CF9AE}" pid="28" name="MSIP_Label_8caabacf-b917-4a45-9a5f-ed3a53d2eeb7_Method">
    <vt:lpwstr>Privileged</vt:lpwstr>
  </property>
  <property fmtid="{D5CDD505-2E9C-101B-9397-08002B2CF9AE}" pid="29" name="MSIP_Label_8caabacf-b917-4a45-9a5f-ed3a53d2eeb7_Name">
    <vt:lpwstr>Anyone - No Protection</vt:lpwstr>
  </property>
  <property fmtid="{D5CDD505-2E9C-101B-9397-08002B2CF9AE}" pid="30" name="MSIP_Label_8caabacf-b917-4a45-9a5f-ed3a53d2eeb7_SiteId">
    <vt:lpwstr>0804c951-93a0-405d-80e4-fa87c7551d6a</vt:lpwstr>
  </property>
  <property fmtid="{D5CDD505-2E9C-101B-9397-08002B2CF9AE}" pid="31" name="MSIP_Label_8caabacf-b917-4a45-9a5f-ed3a53d2eeb7_ActionId">
    <vt:lpwstr>09f1d001-7835-4b73-8e6e-010c707e7727</vt:lpwstr>
  </property>
  <property fmtid="{D5CDD505-2E9C-101B-9397-08002B2CF9AE}" pid="32" name="MSIP_Label_8caabacf-b917-4a45-9a5f-ed3a53d2eeb7_ContentBits">
    <vt:lpwstr>0</vt:lpwstr>
  </property>
  <property fmtid="{D5CDD505-2E9C-101B-9397-08002B2CF9AE}" pid="33" name="ContentTypeId">
    <vt:lpwstr>0x010100CD04853568B40F4E8366B3070197220F</vt:lpwstr>
  </property>
</Properties>
</file>