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/>
  <mc:AlternateContent xmlns:mc="http://schemas.openxmlformats.org/markup-compatibility/2006">
    <mc:Choice Requires="x15">
      <x15ac:absPath xmlns:x15ac="http://schemas.microsoft.com/office/spreadsheetml/2010/11/ac" url="https://esmsorguk-my.sharepoint.com/personal/jdbennett_esms_org_uk/Documents/Documents/MyWork/15. Finlays Friends/Finlay's Friends/OSCR correspond/End July 2025 Year 9/"/>
    </mc:Choice>
  </mc:AlternateContent>
  <xr:revisionPtr revIDLastSave="0" documentId="8_{95AB8FA3-B567-43A1-9334-E5DF3FF080BE}" xr6:coauthVersionLast="47" xr6:coauthVersionMax="47" xr10:uidLastSave="{00000000-0000-0000-0000-000000000000}"/>
  <bookViews>
    <workbookView xWindow="-110" yWindow="-110" windowWidth="19420" windowHeight="10300" tabRatio="500" activeTab="2" xr2:uid="{5275C6D8-553F-45D2-AB90-680715163AF5}"/>
  </bookViews>
  <sheets>
    <sheet name="R&amp;P Accounts" sheetId="32" r:id="rId1"/>
    <sheet name="Statements of balances" sheetId="34" r:id="rId2"/>
    <sheet name="Year summary" sheetId="4" r:id="rId3"/>
    <sheet name="July 2025" sheetId="35" r:id="rId4"/>
    <sheet name="June 2025" sheetId="29" r:id="rId5"/>
    <sheet name="May 2025" sheetId="28" r:id="rId6"/>
    <sheet name="Apr 2024" sheetId="27" r:id="rId7"/>
    <sheet name="Mar 2025" sheetId="26" r:id="rId8"/>
    <sheet name="Feb 2025" sheetId="25" r:id="rId9"/>
    <sheet name="Jan 2025" sheetId="24" r:id="rId10"/>
    <sheet name="Dec 2024" sheetId="23" r:id="rId11"/>
    <sheet name="Nov 2024" sheetId="22" r:id="rId12"/>
    <sheet name="Oct 2024" sheetId="21" r:id="rId13"/>
    <sheet name="Sept 2024" sheetId="20" r:id="rId14"/>
    <sheet name="Aug 2024" sheetId="5" r:id="rId15"/>
  </sheets>
  <externalReferences>
    <externalReference r:id="rId16"/>
    <externalReference r:id="rId17"/>
  </externalReferences>
  <definedNames>
    <definedName name="Expenses_status">'[1]Expenses summary'!$I$2:$I$4</definedName>
    <definedName name="Status">'[1]Invoice summary'!$H$8:$H$10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N28" i="35"/>
  <c r="N23" i="28"/>
  <c r="G23" i="4" s="1"/>
  <c r="H9" i="20"/>
  <c r="N27" i="5"/>
  <c r="G26" i="4" s="1"/>
  <c r="H6" i="4"/>
  <c r="H7" i="4"/>
  <c r="H8" i="4"/>
  <c r="H9" i="4"/>
  <c r="H10" i="4"/>
  <c r="H11" i="4"/>
  <c r="H12" i="4"/>
  <c r="H13" i="4"/>
  <c r="H14" i="4"/>
  <c r="H15" i="4"/>
  <c r="H16" i="4"/>
  <c r="D7" i="4"/>
  <c r="D8" i="4"/>
  <c r="D9" i="4"/>
  <c r="D10" i="4"/>
  <c r="D11" i="4"/>
  <c r="I11" i="4" s="1"/>
  <c r="D12" i="4"/>
  <c r="D13" i="4"/>
  <c r="D14" i="4"/>
  <c r="D15" i="4"/>
  <c r="D16" i="4"/>
  <c r="I16" i="4" s="1"/>
  <c r="D6" i="4"/>
  <c r="H5" i="4"/>
  <c r="D5" i="4"/>
  <c r="B28" i="24"/>
  <c r="B52" i="24"/>
  <c r="N27" i="26"/>
  <c r="N28" i="24"/>
  <c r="G29" i="4" s="1"/>
  <c r="E29" i="4" s="1"/>
  <c r="N27" i="24"/>
  <c r="N26" i="27"/>
  <c r="N29" i="22"/>
  <c r="N28" i="22"/>
  <c r="N30" i="22" s="1"/>
  <c r="N27" i="22"/>
  <c r="N26" i="29"/>
  <c r="N25" i="24"/>
  <c r="N27" i="25"/>
  <c r="N26" i="23"/>
  <c r="N24" i="24"/>
  <c r="N25" i="21"/>
  <c r="H11" i="20"/>
  <c r="N26" i="5"/>
  <c r="N25" i="35"/>
  <c r="N29" i="28"/>
  <c r="N28" i="28"/>
  <c r="N26" i="26"/>
  <c r="N27" i="23"/>
  <c r="N29" i="21"/>
  <c r="N28" i="21"/>
  <c r="N27" i="21"/>
  <c r="N28" i="20"/>
  <c r="G30" i="4" s="1"/>
  <c r="E30" i="4" s="1"/>
  <c r="N29" i="5"/>
  <c r="N28" i="5"/>
  <c r="H10" i="35"/>
  <c r="H10" i="28"/>
  <c r="H10" i="25"/>
  <c r="H10" i="24"/>
  <c r="H10" i="21"/>
  <c r="H9" i="21"/>
  <c r="H10" i="29"/>
  <c r="B30" i="25"/>
  <c r="B54" i="25"/>
  <c r="B56" i="25" s="1"/>
  <c r="H9" i="5"/>
  <c r="N27" i="35"/>
  <c r="N26" i="35"/>
  <c r="N24" i="35"/>
  <c r="N23" i="35"/>
  <c r="G31" i="4" s="1"/>
  <c r="E31" i="4" s="1"/>
  <c r="N25" i="29"/>
  <c r="N24" i="29"/>
  <c r="N28" i="29" s="1"/>
  <c r="N23" i="29"/>
  <c r="N22" i="29"/>
  <c r="N21" i="29"/>
  <c r="N27" i="28"/>
  <c r="N26" i="28"/>
  <c r="N25" i="28"/>
  <c r="N24" i="28"/>
  <c r="N25" i="27"/>
  <c r="N24" i="27"/>
  <c r="N23" i="27"/>
  <c r="N22" i="27"/>
  <c r="N25" i="26"/>
  <c r="N24" i="26"/>
  <c r="N23" i="26"/>
  <c r="N22" i="26"/>
  <c r="N28" i="26" s="1"/>
  <c r="N21" i="26"/>
  <c r="N26" i="25"/>
  <c r="N25" i="25"/>
  <c r="N24" i="25"/>
  <c r="N23" i="25"/>
  <c r="N22" i="25"/>
  <c r="N26" i="24"/>
  <c r="N23" i="24"/>
  <c r="G27" i="4" s="1"/>
  <c r="E27" i="4" s="1"/>
  <c r="N22" i="24"/>
  <c r="N25" i="23"/>
  <c r="N24" i="23"/>
  <c r="N23" i="23"/>
  <c r="N22" i="23"/>
  <c r="N26" i="22"/>
  <c r="N25" i="22"/>
  <c r="N24" i="22"/>
  <c r="N23" i="22"/>
  <c r="N35" i="21"/>
  <c r="N32" i="21"/>
  <c r="N26" i="21"/>
  <c r="N38" i="21" s="1"/>
  <c r="N24" i="21"/>
  <c r="N27" i="20"/>
  <c r="N25" i="20"/>
  <c r="G25" i="4" s="1"/>
  <c r="N24" i="20"/>
  <c r="N23" i="20"/>
  <c r="N25" i="5"/>
  <c r="N24" i="5"/>
  <c r="N23" i="5"/>
  <c r="H8" i="5"/>
  <c r="H10" i="20"/>
  <c r="I23" i="4" s="1"/>
  <c r="I26" i="4" s="1"/>
  <c r="H9" i="22"/>
  <c r="H8" i="22"/>
  <c r="H10" i="23"/>
  <c r="H9" i="23"/>
  <c r="H9" i="24"/>
  <c r="H9" i="25"/>
  <c r="H9" i="26"/>
  <c r="H8" i="26"/>
  <c r="H10" i="27"/>
  <c r="H9" i="27"/>
  <c r="H9" i="28"/>
  <c r="H9" i="29"/>
  <c r="H9" i="35"/>
  <c r="N5" i="34"/>
  <c r="J21" i="26"/>
  <c r="B17" i="22"/>
  <c r="B51" i="22" s="1"/>
  <c r="B53" i="22" s="1"/>
  <c r="B32" i="22"/>
  <c r="B56" i="22"/>
  <c r="B34" i="5"/>
  <c r="B58" i="5"/>
  <c r="B60" i="5" s="1"/>
  <c r="B1" i="34"/>
  <c r="N1" i="34"/>
  <c r="E17" i="4"/>
  <c r="J25" i="27"/>
  <c r="J26" i="27" s="1"/>
  <c r="J24" i="27"/>
  <c r="J23" i="27"/>
  <c r="J22" i="27"/>
  <c r="J21" i="27"/>
  <c r="B29" i="26"/>
  <c r="B53" i="26" s="1"/>
  <c r="B55" i="26" s="1"/>
  <c r="J24" i="26"/>
  <c r="J22" i="26"/>
  <c r="J26" i="26"/>
  <c r="J27" i="26" s="1"/>
  <c r="J25" i="26"/>
  <c r="J23" i="26"/>
  <c r="J26" i="25"/>
  <c r="J24" i="25"/>
  <c r="J23" i="25"/>
  <c r="J22" i="25"/>
  <c r="B59" i="35"/>
  <c r="B48" i="35"/>
  <c r="B54" i="35"/>
  <c r="B41" i="35"/>
  <c r="B34" i="35"/>
  <c r="B58" i="35"/>
  <c r="B60" i="35" s="1"/>
  <c r="B17" i="35"/>
  <c r="B53" i="35" s="1"/>
  <c r="B55" i="35" s="1"/>
  <c r="B62" i="35" s="1"/>
  <c r="P48" i="34"/>
  <c r="N48" i="34"/>
  <c r="P41" i="34"/>
  <c r="N41" i="34"/>
  <c r="P32" i="34"/>
  <c r="N32" i="34"/>
  <c r="L32" i="34"/>
  <c r="P19" i="34"/>
  <c r="N19" i="34"/>
  <c r="P10" i="34"/>
  <c r="L10" i="34"/>
  <c r="J10" i="34"/>
  <c r="H10" i="34"/>
  <c r="F10" i="34"/>
  <c r="P9" i="34"/>
  <c r="L9" i="34"/>
  <c r="J9" i="34"/>
  <c r="H9" i="34"/>
  <c r="F9" i="34"/>
  <c r="N9" i="34"/>
  <c r="N8" i="34"/>
  <c r="N7" i="34"/>
  <c r="N6" i="34"/>
  <c r="N10" i="34"/>
  <c r="J53" i="32"/>
  <c r="L47" i="32"/>
  <c r="L49" i="32" s="1"/>
  <c r="H47" i="32"/>
  <c r="H49" i="32" s="1"/>
  <c r="H51" i="32" s="1"/>
  <c r="H55" i="32" s="1"/>
  <c r="F47" i="32"/>
  <c r="F49" i="32" s="1"/>
  <c r="D47" i="32"/>
  <c r="B47" i="32"/>
  <c r="J46" i="32"/>
  <c r="J45" i="32"/>
  <c r="J47" i="32" s="1"/>
  <c r="J49" i="32" s="1"/>
  <c r="L42" i="32"/>
  <c r="H42" i="32"/>
  <c r="F42" i="32"/>
  <c r="D42" i="32"/>
  <c r="D49" i="32"/>
  <c r="B42" i="32"/>
  <c r="B49" i="32"/>
  <c r="J41" i="32"/>
  <c r="J40" i="32"/>
  <c r="J39" i="32"/>
  <c r="J38" i="32"/>
  <c r="J37" i="32"/>
  <c r="J36" i="32"/>
  <c r="J35" i="32"/>
  <c r="J34" i="32"/>
  <c r="J33" i="32"/>
  <c r="J32" i="32"/>
  <c r="J42" i="32" s="1"/>
  <c r="J31" i="32"/>
  <c r="L26" i="32"/>
  <c r="L28" i="32" s="1"/>
  <c r="L51" i="32" s="1"/>
  <c r="L55" i="32" s="1"/>
  <c r="H26" i="32"/>
  <c r="F26" i="32"/>
  <c r="D26" i="32"/>
  <c r="B26" i="32"/>
  <c r="B28" i="32" s="1"/>
  <c r="J25" i="32"/>
  <c r="J24" i="32"/>
  <c r="J26" i="32"/>
  <c r="L21" i="32"/>
  <c r="H21" i="32"/>
  <c r="J21" i="32" s="1"/>
  <c r="F21" i="32"/>
  <c r="D21" i="32"/>
  <c r="D28" i="32" s="1"/>
  <c r="D51" i="32" s="1"/>
  <c r="D55" i="32" s="1"/>
  <c r="B21" i="32"/>
  <c r="J22" i="32" s="1"/>
  <c r="J20" i="32"/>
  <c r="J19" i="32"/>
  <c r="J18" i="32"/>
  <c r="J17" i="32"/>
  <c r="J16" i="32"/>
  <c r="J15" i="32"/>
  <c r="J14" i="32"/>
  <c r="J13" i="32"/>
  <c r="J12" i="32"/>
  <c r="B43" i="29"/>
  <c r="B49" i="29"/>
  <c r="B36" i="29"/>
  <c r="B54" i="29" s="1"/>
  <c r="B29" i="29"/>
  <c r="B53" i="29"/>
  <c r="B16" i="29"/>
  <c r="B48" i="29"/>
  <c r="B50" i="29" s="1"/>
  <c r="B45" i="28"/>
  <c r="B51" i="28"/>
  <c r="B38" i="28"/>
  <c r="B56" i="28"/>
  <c r="B31" i="28"/>
  <c r="B55" i="28"/>
  <c r="B57" i="28"/>
  <c r="B18" i="28"/>
  <c r="B50" i="28" s="1"/>
  <c r="B52" i="28" s="1"/>
  <c r="B59" i="28" s="1"/>
  <c r="B46" i="27"/>
  <c r="B52" i="27" s="1"/>
  <c r="B53" i="27" s="1"/>
  <c r="B60" i="27" s="1"/>
  <c r="B39" i="27"/>
  <c r="B57" i="27"/>
  <c r="B58" i="27" s="1"/>
  <c r="B32" i="27"/>
  <c r="B56" i="27"/>
  <c r="B16" i="27"/>
  <c r="B51" i="27"/>
  <c r="B54" i="26"/>
  <c r="B43" i="26"/>
  <c r="B49" i="26"/>
  <c r="B36" i="26"/>
  <c r="B16" i="26"/>
  <c r="B48" i="26"/>
  <c r="B50" i="26" s="1"/>
  <c r="B57" i="26" s="1"/>
  <c r="B44" i="25"/>
  <c r="B50" i="25" s="1"/>
  <c r="B37" i="25"/>
  <c r="B55" i="25"/>
  <c r="B16" i="25"/>
  <c r="B49" i="25" s="1"/>
  <c r="B42" i="24"/>
  <c r="B48" i="24"/>
  <c r="B35" i="24"/>
  <c r="B53" i="24" s="1"/>
  <c r="B16" i="24"/>
  <c r="B47" i="24"/>
  <c r="B49" i="24"/>
  <c r="B43" i="23"/>
  <c r="B49" i="23"/>
  <c r="B36" i="23"/>
  <c r="B54" i="23" s="1"/>
  <c r="B29" i="23"/>
  <c r="B53" i="23"/>
  <c r="B16" i="23"/>
  <c r="B48" i="23"/>
  <c r="B50" i="23" s="1"/>
  <c r="B46" i="22"/>
  <c r="B52" i="22"/>
  <c r="B39" i="22"/>
  <c r="B57" i="22" s="1"/>
  <c r="B50" i="21"/>
  <c r="B56" i="21" s="1"/>
  <c r="B57" i="21" s="1"/>
  <c r="B64" i="21" s="1"/>
  <c r="B43" i="21"/>
  <c r="B61" i="21"/>
  <c r="B36" i="21"/>
  <c r="B60" i="21"/>
  <c r="B62" i="21"/>
  <c r="B18" i="21"/>
  <c r="B55" i="21"/>
  <c r="B42" i="20"/>
  <c r="B48" i="20"/>
  <c r="B35" i="20"/>
  <c r="B53" i="20" s="1"/>
  <c r="B28" i="20"/>
  <c r="B52" i="20"/>
  <c r="B54" i="20" s="1"/>
  <c r="B16" i="20"/>
  <c r="B47" i="20"/>
  <c r="B49" i="20" s="1"/>
  <c r="B56" i="20" s="1"/>
  <c r="B48" i="5"/>
  <c r="B54" i="5"/>
  <c r="B41" i="5"/>
  <c r="B59" i="5"/>
  <c r="B16" i="5"/>
  <c r="B53" i="5" s="1"/>
  <c r="B55" i="5" s="1"/>
  <c r="B62" i="5" s="1"/>
  <c r="F17" i="4"/>
  <c r="C17" i="4"/>
  <c r="B17" i="4"/>
  <c r="D17" i="4"/>
  <c r="I8" i="4"/>
  <c r="I5" i="4"/>
  <c r="I17" i="4" s="1"/>
  <c r="J5" i="4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I6" i="4"/>
  <c r="I7" i="4"/>
  <c r="I12" i="4"/>
  <c r="G17" i="4"/>
  <c r="F28" i="32"/>
  <c r="H28" i="32"/>
  <c r="J27" i="32"/>
  <c r="I15" i="4"/>
  <c r="G28" i="4"/>
  <c r="E28" i="4" s="1"/>
  <c r="I14" i="4"/>
  <c r="N30" i="28"/>
  <c r="I13" i="4"/>
  <c r="N32" i="27"/>
  <c r="H17" i="4"/>
  <c r="N29" i="25"/>
  <c r="J29" i="25"/>
  <c r="I10" i="4"/>
  <c r="N30" i="24"/>
  <c r="H11" i="24"/>
  <c r="N29" i="23"/>
  <c r="N31" i="20"/>
  <c r="I24" i="4"/>
  <c r="I9" i="4"/>
  <c r="N31" i="5"/>
  <c r="B55" i="29" l="1"/>
  <c r="B54" i="24"/>
  <c r="J43" i="32"/>
  <c r="J28" i="32"/>
  <c r="E26" i="4"/>
  <c r="G36" i="4"/>
  <c r="J50" i="32"/>
  <c r="F51" i="32"/>
  <c r="F55" i="32" s="1"/>
  <c r="B58" i="22"/>
  <c r="B60" i="22" s="1"/>
  <c r="G35" i="4"/>
  <c r="E25" i="4"/>
  <c r="G32" i="4"/>
  <c r="E23" i="4"/>
  <c r="G34" i="4"/>
  <c r="B56" i="24"/>
  <c r="B51" i="25"/>
  <c r="B58" i="25" s="1"/>
  <c r="B57" i="29"/>
  <c r="B51" i="32"/>
  <c r="J29" i="32"/>
  <c r="B55" i="23"/>
  <c r="B57" i="23" s="1"/>
  <c r="J48" i="32"/>
  <c r="N30" i="35"/>
  <c r="J51" i="32" l="1"/>
  <c r="J55" i="32" s="1"/>
  <c r="B55" i="32"/>
  <c r="J56" i="32" s="1"/>
  <c r="E32" i="4"/>
  <c r="E34" i="4"/>
  <c r="G39" i="4"/>
</calcChain>
</file>

<file path=xl/sharedStrings.xml><?xml version="1.0" encoding="utf-8"?>
<sst xmlns="http://schemas.openxmlformats.org/spreadsheetml/2006/main" count="1233" uniqueCount="210">
  <si>
    <t>Expenses</t>
  </si>
  <si>
    <t>Total</t>
  </si>
  <si>
    <t>Income</t>
  </si>
  <si>
    <t>Stationary</t>
  </si>
  <si>
    <t>Postage &amp; Packaging</t>
  </si>
  <si>
    <t>Mileage &amp; Travel</t>
  </si>
  <si>
    <t>Stock - comfort kits</t>
  </si>
  <si>
    <t>Marketing</t>
  </si>
  <si>
    <t>Overheads</t>
  </si>
  <si>
    <t>Bank Fees</t>
  </si>
  <si>
    <t>Events expenditure</t>
  </si>
  <si>
    <t>Finlay's Fair</t>
  </si>
  <si>
    <t>Finlay's Fling</t>
  </si>
  <si>
    <t>Finlay's Golf</t>
  </si>
  <si>
    <t>Incomings</t>
  </si>
  <si>
    <t>Outgoings</t>
  </si>
  <si>
    <t>Notes</t>
  </si>
  <si>
    <t>Operating revenue</t>
  </si>
  <si>
    <t>Additional income</t>
  </si>
  <si>
    <t>Total operating income</t>
  </si>
  <si>
    <t>Total Expenses</t>
  </si>
  <si>
    <t>Wages</t>
  </si>
  <si>
    <t>Other expenditure</t>
  </si>
  <si>
    <t>Totals</t>
  </si>
  <si>
    <t>Cash flow summary</t>
  </si>
  <si>
    <t xml:space="preserve">Monthly Profit/loss </t>
  </si>
  <si>
    <t>Total expenditure</t>
  </si>
  <si>
    <t>Cash in Bank</t>
  </si>
  <si>
    <t>Amount</t>
  </si>
  <si>
    <t>Operating Revenue</t>
  </si>
  <si>
    <t>Total operating Income</t>
  </si>
  <si>
    <t>Operating expense</t>
  </si>
  <si>
    <t>Expense type</t>
  </si>
  <si>
    <t>Payee</t>
  </si>
  <si>
    <t>Status</t>
  </si>
  <si>
    <t>Event</t>
  </si>
  <si>
    <t>Pars bucket collection</t>
  </si>
  <si>
    <t>Other</t>
  </si>
  <si>
    <t>Colour me Rad</t>
  </si>
  <si>
    <t>Received</t>
  </si>
  <si>
    <t>Paid</t>
  </si>
  <si>
    <t>Total operating expenses</t>
  </si>
  <si>
    <t>Other Income</t>
  </si>
  <si>
    <t>Overhead</t>
  </si>
  <si>
    <t>Type</t>
  </si>
  <si>
    <t>Total overheads</t>
  </si>
  <si>
    <t>Total other income</t>
  </si>
  <si>
    <t>Monthly Summary</t>
  </si>
  <si>
    <t>Profit/Loss</t>
  </si>
  <si>
    <t>Recepient</t>
  </si>
  <si>
    <t>J Bennett</t>
  </si>
  <si>
    <t>Just giving monthly fee</t>
  </si>
  <si>
    <t>JustGiving</t>
  </si>
  <si>
    <t xml:space="preserve">Enter charity name below </t>
  </si>
  <si>
    <t xml:space="preserve">Enter SC No. below   </t>
  </si>
  <si>
    <t>Receipts and payments accounts</t>
  </si>
  <si>
    <t>For the period from</t>
  </si>
  <si>
    <t>to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</si>
  <si>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</si>
  <si>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</si>
  <si>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</si>
  <si>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</si>
  <si>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</si>
  <si>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</si>
  <si>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</si>
  <si>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</si>
  <si>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</si>
  <si>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</si>
  <si>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</si>
  <si>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</si>
  <si>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</si>
  <si>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</si>
  <si>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</si>
  <si>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</si>
  <si>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</si>
  <si>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</si>
  <si>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</si>
  <si>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</si>
  <si>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</si>
  <si>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</si>
  <si>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</si>
  <si>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</si>
  <si>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</si>
  <si>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</si>
  <si>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</si>
  <si>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</si>
  <si>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</si>
  <si>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</si>
  <si>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</si>
  <si>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</si>
  <si>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</si>
  <si>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</si>
  <si>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</si>
  <si>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</si>
  <si>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</si>
  <si>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</si>
  <si>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</si>
  <si>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</si>
  <si>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</si>
  <si>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</si>
  <si>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</si>
  <si>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</si>
  <si>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</si>
  <si>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</si>
  <si>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</si>
  <si>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</si>
  <si>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</si>
  <si>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</si>
  <si>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</si>
  <si>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</si>
  <si>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</si>
  <si>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</si>
  <si>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</si>
  <si>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</si>
  <si>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</si>
  <si>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</si>
  <si>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</si>
  <si>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</si>
  <si>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</si>
  <si>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</si>
  <si>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</si>
  <si>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</si>
  <si>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</si>
  <si>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</si>
  <si>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</si>
  <si>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</si>
  <si>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</si>
  <si>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</si>
  <si>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</si>
  <si>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</si>
  <si>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</si>
  <si>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</si>
  <si>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Operating expense (annual)</t>
  </si>
  <si>
    <t>Finlay's Friends</t>
  </si>
  <si>
    <t>SC046675</t>
  </si>
  <si>
    <t>Gratuity</t>
  </si>
  <si>
    <t>Gratuities</t>
  </si>
  <si>
    <t>Donation</t>
  </si>
  <si>
    <t>Fundraising</t>
  </si>
  <si>
    <t>opening balance</t>
  </si>
  <si>
    <t>Gratutites</t>
  </si>
  <si>
    <t>stationary</t>
  </si>
  <si>
    <t>office expenses</t>
  </si>
  <si>
    <t>Revenue classification</t>
  </si>
  <si>
    <t>Expense classification</t>
  </si>
  <si>
    <t>Justgiving</t>
  </si>
  <si>
    <t>Expenses for Fundraising</t>
  </si>
  <si>
    <t>supplier refund</t>
  </si>
  <si>
    <t>\</t>
  </si>
  <si>
    <t>nov23_02</t>
  </si>
  <si>
    <t>D Bennett</t>
  </si>
  <si>
    <t>Insurance</t>
  </si>
  <si>
    <t>Postage and packing</t>
  </si>
  <si>
    <t>Just giving monthly fee Jan</t>
  </si>
  <si>
    <t>2 receipts added but don’t appear as transactions</t>
  </si>
  <si>
    <t>Royal mail</t>
  </si>
  <si>
    <t>No receipt for Jan24-03 52.03 packaging</t>
  </si>
  <si>
    <t>Comfort kits</t>
  </si>
  <si>
    <t>Operating costs</t>
  </si>
  <si>
    <t>Finlays Friends
Income/outgoings
August 2024</t>
  </si>
  <si>
    <t>Finlays Friends
Income/outgoings
September 2024</t>
  </si>
  <si>
    <t>Oct24_01</t>
  </si>
  <si>
    <t>Oct24_02</t>
  </si>
  <si>
    <t>Oct24_03</t>
  </si>
  <si>
    <t>Oct24_04</t>
  </si>
  <si>
    <t>Oct24_05</t>
  </si>
  <si>
    <t>Finlays Friends
Income/outgoings
October 2024</t>
  </si>
  <si>
    <t>oct24_01</t>
  </si>
  <si>
    <t>Finlays Friends
Income/outgoings
November 2024</t>
  </si>
  <si>
    <t>nov24_01</t>
  </si>
  <si>
    <t>Finlays Friends
Income/outgoings
December 2024</t>
  </si>
  <si>
    <t>S Primrose</t>
  </si>
  <si>
    <t xml:space="preserve">dec24_01 </t>
  </si>
  <si>
    <t>dec24_02</t>
  </si>
  <si>
    <t>dec24_03</t>
  </si>
  <si>
    <t>dec24_04</t>
  </si>
  <si>
    <t>dec24_05</t>
  </si>
  <si>
    <t>Finlays Friends
Income/outgoings
January 2025</t>
  </si>
  <si>
    <t xml:space="preserve">jan25_01 </t>
  </si>
  <si>
    <t>jan25_02</t>
  </si>
  <si>
    <t>jan25_03</t>
  </si>
  <si>
    <t>jan25_04</t>
  </si>
  <si>
    <t>Finlays Friends
Income/outgoings
February 2025</t>
  </si>
  <si>
    <t xml:space="preserve">Feb25_01 </t>
  </si>
  <si>
    <t>Feb25_02</t>
  </si>
  <si>
    <t>Feb25_03</t>
  </si>
  <si>
    <t>Feb25_04</t>
  </si>
  <si>
    <t>Feb25_05</t>
  </si>
  <si>
    <t>Finlays Friends
Income/outgoings
March 2025</t>
  </si>
  <si>
    <t>apr25_01</t>
  </si>
  <si>
    <t>Finlays Friends
Income/outgoings
April 2025</t>
  </si>
  <si>
    <t>Finlays Friends
Income/outgoings
May 2025</t>
  </si>
  <si>
    <t>may25_01</t>
  </si>
  <si>
    <t>may25_02</t>
  </si>
  <si>
    <t>may25_03</t>
  </si>
  <si>
    <t>may25_04</t>
  </si>
  <si>
    <t>may25_05</t>
  </si>
  <si>
    <t>Finlays Friends
Income/outgoings
June 2025</t>
  </si>
  <si>
    <t xml:space="preserve">jun25_01 </t>
  </si>
  <si>
    <t>jun25_02</t>
  </si>
  <si>
    <t>Finlays Friends
Income/outgoings
July 2025</t>
  </si>
  <si>
    <t>Jul25_01</t>
  </si>
  <si>
    <t>Jul25_02</t>
  </si>
  <si>
    <t>Jul25_03</t>
  </si>
  <si>
    <t>Jul25_04</t>
  </si>
  <si>
    <t>Jul25_05</t>
  </si>
  <si>
    <t>Jul25_06</t>
  </si>
  <si>
    <t>Jul25_07</t>
  </si>
  <si>
    <t>Jul25_08</t>
  </si>
  <si>
    <t>Mileage and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</si>
</sst>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&quot;£&quot;#,##0.00"/>
    <numFmt numFmtId="166" formatCode="[$-F800]dddd\,\ mmmm\ dd\,\ yyyy"/>
    <numFmt numFmtId="167" formatCode="* #,##0_-;\(* #,##0\)_-;_-* &quot;-&quot;??_-;_-@_-"/>
    <numFmt numFmtId="168" formatCode="dd/mm/yyyy;@"/>
    <numFmt numFmtId="169" formatCode="_-* #,##0_-;\-* #,##0_-;_-* &quot;-&quot;??_-;_-@_-"/>
    <numFmt numFmtId="170" formatCode="0.0%"/>
  </numFmts>
  <fonts count="43" x14ac:knownFonts="1">
    <font>
      <sz val="10"/>
      <name val="Verdana"/>
    </font>
    <font>
      <b/>
      <sz val="10"/>
      <name val="Verdana"/>
    </font>
    <font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u/>
      <sz val="10"/>
      <name val="Verdana"/>
      <family val="2"/>
    </font>
    <font>
      <u/>
      <sz val="10"/>
      <name val="Verdana"/>
      <family val="2"/>
    </font>
    <font>
      <b/>
      <i/>
      <sz val="10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color indexed="22"/>
      <name val="Arial"/>
      <family val="2"/>
    </font>
    <font>
      <b/>
      <sz val="11"/>
      <name val="Arial"/>
      <family val="2"/>
    </font>
    <font>
      <b/>
      <sz val="16"/>
      <color indexed="9"/>
      <name val="Arial"/>
      <family val="2"/>
    </font>
    <font>
      <b/>
      <sz val="11"/>
      <color indexed="5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color indexed="22"/>
      <name val="Arial"/>
      <family val="2"/>
    </font>
    <font>
      <sz val="11"/>
      <color indexed="2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sz val="11"/>
      <name val="Arial"/>
      <family val="2"/>
    </font>
    <font>
      <sz val="10"/>
      <color indexed="23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6">
    <xf numFmtId="0" fontId="0" fillId="0" borderId="0" xfId="0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3" fillId="0" borderId="0" xfId="2"/>
    <xf numFmtId="17" fontId="3" fillId="0" borderId="1" xfId="2" applyNumberFormat="1" applyBorder="1"/>
    <xf numFmtId="44" fontId="3" fillId="0" borderId="2" xfId="2" applyNumberFormat="1" applyBorder="1"/>
    <xf numFmtId="0" fontId="3" fillId="0" borderId="2" xfId="2" applyBorder="1"/>
    <xf numFmtId="165" fontId="3" fillId="0" borderId="2" xfId="2" applyNumberFormat="1" applyBorder="1"/>
    <xf numFmtId="165" fontId="3" fillId="0" borderId="0" xfId="2" applyNumberFormat="1"/>
    <xf numFmtId="44" fontId="3" fillId="0" borderId="0" xfId="2" applyNumberFormat="1"/>
    <xf numFmtId="165" fontId="3" fillId="0" borderId="3" xfId="2" applyNumberFormat="1" applyBorder="1"/>
    <xf numFmtId="0" fontId="3" fillId="0" borderId="4" xfId="2" applyBorder="1"/>
    <xf numFmtId="44" fontId="3" fillId="0" borderId="4" xfId="2" applyNumberFormat="1" applyBorder="1"/>
    <xf numFmtId="165" fontId="3" fillId="0" borderId="4" xfId="2" applyNumberFormat="1" applyBorder="1"/>
    <xf numFmtId="0" fontId="3" fillId="4" borderId="5" xfId="2" applyFill="1" applyBorder="1" applyAlignment="1">
      <alignment horizontal="center"/>
    </xf>
    <xf numFmtId="0" fontId="3" fillId="4" borderId="6" xfId="2" applyFill="1" applyBorder="1" applyAlignment="1">
      <alignment horizontal="center"/>
    </xf>
    <xf numFmtId="164" fontId="3" fillId="0" borderId="4" xfId="2" applyNumberFormat="1" applyBorder="1"/>
    <xf numFmtId="165" fontId="3" fillId="0" borderId="7" xfId="2" applyNumberFormat="1" applyBorder="1"/>
    <xf numFmtId="4" fontId="0" fillId="0" borderId="0" xfId="0" applyNumberFormat="1"/>
    <xf numFmtId="0" fontId="8" fillId="0" borderId="0" xfId="0" applyFont="1"/>
    <xf numFmtId="0" fontId="0" fillId="0" borderId="8" xfId="0" applyBorder="1"/>
    <xf numFmtId="0" fontId="0" fillId="0" borderId="9" xfId="0" applyBorder="1"/>
    <xf numFmtId="165" fontId="3" fillId="0" borderId="10" xfId="2" applyNumberFormat="1" applyBorder="1"/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1" fillId="0" borderId="0" xfId="0" applyFont="1"/>
    <xf numFmtId="0" fontId="12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1" fontId="11" fillId="0" borderId="0" xfId="1" applyNumberFormat="1" applyFont="1" applyProtection="1">
      <protection locked="0"/>
    </xf>
    <xf numFmtId="0" fontId="17" fillId="2" borderId="0" xfId="0" applyFont="1" applyFill="1" applyProtection="1">
      <protection locked="0"/>
    </xf>
    <xf numFmtId="41" fontId="17" fillId="2" borderId="0" xfId="1" applyNumberFormat="1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1" fontId="16" fillId="0" borderId="0" xfId="1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right"/>
      <protection locked="0"/>
    </xf>
    <xf numFmtId="41" fontId="19" fillId="0" borderId="0" xfId="1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/>
      <protection locked="0"/>
    </xf>
    <xf numFmtId="41" fontId="21" fillId="0" borderId="0" xfId="1" applyNumberFormat="1" applyFont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wrapText="1"/>
      <protection locked="0"/>
    </xf>
    <xf numFmtId="0" fontId="23" fillId="0" borderId="11" xfId="0" applyFont="1" applyBorder="1" applyAlignment="1" applyProtection="1">
      <alignment horizontal="left" wrapText="1"/>
      <protection locked="0"/>
    </xf>
    <xf numFmtId="41" fontId="16" fillId="0" borderId="11" xfId="1" applyNumberFormat="1" applyFont="1" applyBorder="1" applyAlignment="1" applyProtection="1">
      <alignment wrapText="1"/>
      <protection locked="0"/>
    </xf>
    <xf numFmtId="41" fontId="16" fillId="0" borderId="0" xfId="1" applyNumberFormat="1" applyFont="1" applyAlignment="1" applyProtection="1">
      <alignment wrapText="1"/>
      <protection locked="0"/>
    </xf>
    <xf numFmtId="41" fontId="16" fillId="3" borderId="11" xfId="1" applyNumberFormat="1" applyFont="1" applyFill="1" applyBorder="1" applyAlignment="1" applyProtection="1">
      <alignment wrapText="1"/>
    </xf>
    <xf numFmtId="41" fontId="23" fillId="0" borderId="0" xfId="0" applyNumberFormat="1" applyFont="1" applyAlignment="1" applyProtection="1">
      <alignment wrapText="1"/>
      <protection locked="0"/>
    </xf>
    <xf numFmtId="0" fontId="24" fillId="0" borderId="0" xfId="0" applyFont="1" applyAlignment="1" applyProtection="1">
      <alignment horizontal="right" wrapText="1"/>
      <protection locked="0"/>
    </xf>
    <xf numFmtId="41" fontId="16" fillId="3" borderId="12" xfId="1" applyNumberFormat="1" applyFont="1" applyFill="1" applyBorder="1" applyAlignment="1" applyProtection="1">
      <alignment wrapText="1"/>
    </xf>
    <xf numFmtId="41" fontId="16" fillId="0" borderId="13" xfId="1" applyNumberFormat="1" applyFont="1" applyBorder="1" applyAlignment="1" applyProtection="1">
      <alignment wrapText="1"/>
      <protection locked="0"/>
    </xf>
    <xf numFmtId="41" fontId="16" fillId="3" borderId="14" xfId="1" applyNumberFormat="1" applyFont="1" applyFill="1" applyBorder="1" applyAlignment="1" applyProtection="1">
      <alignment wrapText="1"/>
    </xf>
    <xf numFmtId="0" fontId="20" fillId="0" borderId="0" xfId="0" applyFont="1" applyAlignment="1" applyProtection="1">
      <alignment wrapText="1"/>
      <protection locked="0"/>
    </xf>
    <xf numFmtId="41" fontId="20" fillId="0" borderId="0" xfId="1" applyNumberFormat="1" applyFont="1" applyAlignment="1" applyProtection="1">
      <alignment wrapText="1"/>
      <protection locked="0"/>
    </xf>
    <xf numFmtId="41" fontId="20" fillId="0" borderId="0" xfId="0" applyNumberFormat="1" applyFont="1" applyAlignment="1" applyProtection="1">
      <alignment wrapText="1"/>
      <protection locked="0"/>
    </xf>
    <xf numFmtId="41" fontId="22" fillId="0" borderId="0" xfId="0" applyNumberFormat="1" applyFont="1" applyProtection="1">
      <protection locked="0"/>
    </xf>
    <xf numFmtId="41" fontId="11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left" wrapText="1"/>
      <protection locked="0"/>
    </xf>
    <xf numFmtId="41" fontId="21" fillId="0" borderId="0" xfId="1" applyNumberFormat="1" applyFont="1" applyAlignment="1" applyProtection="1">
      <alignment wrapText="1"/>
      <protection locked="0"/>
    </xf>
    <xf numFmtId="0" fontId="16" fillId="0" borderId="0" xfId="0" applyFont="1" applyAlignment="1" applyProtection="1">
      <alignment horizontal="right" wrapText="1"/>
      <protection locked="0"/>
    </xf>
    <xf numFmtId="41" fontId="16" fillId="0" borderId="0" xfId="1" applyNumberFormat="1" applyFont="1" applyBorder="1" applyAlignment="1" applyProtection="1">
      <alignment wrapText="1"/>
      <protection locked="0"/>
    </xf>
    <xf numFmtId="41" fontId="23" fillId="0" borderId="0" xfId="1" applyNumberFormat="1" applyFont="1" applyBorder="1" applyAlignment="1" applyProtection="1">
      <alignment wrapText="1"/>
      <protection locked="0"/>
    </xf>
    <xf numFmtId="41" fontId="23" fillId="0" borderId="0" xfId="1" applyNumberFormat="1" applyFont="1" applyAlignment="1" applyProtection="1">
      <alignment wrapText="1"/>
      <protection locked="0"/>
    </xf>
    <xf numFmtId="41" fontId="23" fillId="0" borderId="0" xfId="0" applyNumberFormat="1" applyFont="1" applyProtection="1">
      <protection locked="0"/>
    </xf>
    <xf numFmtId="41" fontId="16" fillId="3" borderId="3" xfId="1" applyNumberFormat="1" applyFont="1" applyFill="1" applyBorder="1" applyAlignment="1" applyProtection="1">
      <alignment wrapText="1"/>
    </xf>
    <xf numFmtId="41" fontId="11" fillId="0" borderId="0" xfId="1" applyNumberFormat="1" applyFont="1" applyAlignment="1" applyProtection="1">
      <protection locked="0"/>
    </xf>
    <xf numFmtId="0" fontId="16" fillId="0" borderId="0" xfId="0" applyFont="1" applyAlignment="1" applyProtection="1">
      <alignment horizontal="left" vertical="top"/>
      <protection locked="0"/>
    </xf>
    <xf numFmtId="41" fontId="25" fillId="0" borderId="0" xfId="1" applyNumberFormat="1" applyFont="1" applyAlignment="1" applyProtection="1">
      <alignment wrapText="1"/>
      <protection locked="0"/>
    </xf>
    <xf numFmtId="41" fontId="22" fillId="0" borderId="0" xfId="0" applyNumberFormat="1" applyFont="1" applyAlignment="1" applyProtection="1">
      <alignment wrapText="1"/>
      <protection locked="0"/>
    </xf>
    <xf numFmtId="0" fontId="23" fillId="0" borderId="11" xfId="0" applyFont="1" applyBorder="1" applyAlignment="1" applyProtection="1">
      <alignment horizontal="left" vertical="top" wrapText="1"/>
      <protection locked="0"/>
    </xf>
    <xf numFmtId="0" fontId="23" fillId="0" borderId="11" xfId="0" applyFont="1" applyBorder="1" applyAlignment="1" applyProtection="1">
      <alignment horizontal="right" vertical="top" wrapText="1"/>
      <protection locked="0"/>
    </xf>
    <xf numFmtId="41" fontId="16" fillId="0" borderId="15" xfId="1" applyNumberFormat="1" applyFont="1" applyBorder="1" applyAlignment="1" applyProtection="1">
      <alignment wrapText="1"/>
      <protection locked="0"/>
    </xf>
    <xf numFmtId="0" fontId="24" fillId="0" borderId="0" xfId="0" applyFont="1" applyAlignment="1" applyProtection="1">
      <alignment horizontal="right" vertical="top" wrapText="1"/>
      <protection locked="0"/>
    </xf>
    <xf numFmtId="41" fontId="16" fillId="0" borderId="16" xfId="1" applyNumberFormat="1" applyFont="1" applyBorder="1" applyAlignment="1" applyProtection="1">
      <alignment wrapText="1"/>
      <protection locked="0"/>
    </xf>
    <xf numFmtId="0" fontId="22" fillId="0" borderId="0" xfId="0" applyFont="1" applyProtection="1">
      <protection locked="0"/>
    </xf>
    <xf numFmtId="41" fontId="22" fillId="0" borderId="0" xfId="1" applyNumberFormat="1" applyFont="1" applyAlignment="1" applyProtection="1">
      <protection locked="0"/>
    </xf>
    <xf numFmtId="41" fontId="22" fillId="0" borderId="5" xfId="0" applyNumberFormat="1" applyFont="1" applyBorder="1" applyProtection="1">
      <protection locked="0"/>
    </xf>
    <xf numFmtId="41" fontId="26" fillId="0" borderId="10" xfId="1" applyNumberFormat="1" applyFont="1" applyBorder="1" applyAlignment="1" applyProtection="1">
      <protection locked="0"/>
    </xf>
    <xf numFmtId="0" fontId="24" fillId="0" borderId="13" xfId="0" applyFont="1" applyBorder="1" applyAlignment="1" applyProtection="1">
      <alignment horizontal="right" vertical="center"/>
      <protection locked="0"/>
    </xf>
    <xf numFmtId="41" fontId="16" fillId="3" borderId="17" xfId="1" applyNumberFormat="1" applyFont="1" applyFill="1" applyBorder="1" applyAlignment="1" applyProtection="1">
      <alignment wrapText="1"/>
    </xf>
    <xf numFmtId="0" fontId="11" fillId="0" borderId="0" xfId="0" applyFont="1" applyAlignment="1" applyProtection="1">
      <alignment horizontal="center" vertical="center"/>
      <protection locked="0"/>
    </xf>
    <xf numFmtId="41" fontId="20" fillId="0" borderId="0" xfId="1" applyNumberFormat="1" applyFont="1" applyBorder="1" applyAlignment="1" applyProtection="1">
      <protection locked="0"/>
    </xf>
    <xf numFmtId="41" fontId="20" fillId="0" borderId="0" xfId="0" applyNumberFormat="1" applyFont="1" applyProtection="1">
      <protection locked="0"/>
    </xf>
    <xf numFmtId="41" fontId="20" fillId="0" borderId="0" xfId="0" applyNumberFormat="1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horizontal="right" vertical="top"/>
      <protection locked="0"/>
    </xf>
    <xf numFmtId="167" fontId="16" fillId="3" borderId="18" xfId="1" applyNumberFormat="1" applyFont="1" applyFill="1" applyBorder="1" applyAlignment="1" applyProtection="1">
      <alignment horizontal="right" shrinkToFit="1"/>
    </xf>
    <xf numFmtId="41" fontId="16" fillId="0" borderId="0" xfId="1" applyNumberFormat="1" applyFont="1" applyAlignment="1" applyProtection="1">
      <alignment horizontal="right" wrapText="1"/>
      <protection locked="0"/>
    </xf>
    <xf numFmtId="167" fontId="16" fillId="3" borderId="19" xfId="1" applyNumberFormat="1" applyFont="1" applyFill="1" applyBorder="1" applyAlignment="1" applyProtection="1">
      <alignment horizontal="right" shrinkToFit="1"/>
    </xf>
    <xf numFmtId="41" fontId="23" fillId="0" borderId="0" xfId="0" applyNumberFormat="1" applyFont="1" applyAlignment="1" applyProtection="1">
      <alignment horizontal="right" vertical="top" wrapText="1"/>
      <protection locked="0"/>
    </xf>
    <xf numFmtId="0" fontId="23" fillId="0" borderId="0" xfId="0" applyFont="1" applyProtection="1">
      <protection locked="0"/>
    </xf>
    <xf numFmtId="167" fontId="16" fillId="0" borderId="0" xfId="1" applyNumberFormat="1" applyFont="1" applyFill="1" applyBorder="1" applyAlignment="1" applyProtection="1">
      <alignment horizontal="right" shrinkToFit="1"/>
    </xf>
    <xf numFmtId="0" fontId="13" fillId="0" borderId="0" xfId="0" applyFont="1" applyAlignment="1" applyProtection="1">
      <alignment vertical="top"/>
      <protection locked="0"/>
    </xf>
    <xf numFmtId="167" fontId="16" fillId="3" borderId="20" xfId="1" applyNumberFormat="1" applyFont="1" applyFill="1" applyBorder="1" applyAlignment="1" applyProtection="1">
      <alignment horizontal="right" shrinkToFit="1"/>
      <protection locked="0"/>
    </xf>
    <xf numFmtId="167" fontId="16" fillId="3" borderId="21" xfId="1" applyNumberFormat="1" applyFont="1" applyFill="1" applyBorder="1" applyAlignment="1" applyProtection="1">
      <alignment horizontal="right" shrinkToFit="1"/>
    </xf>
    <xf numFmtId="0" fontId="16" fillId="0" borderId="0" xfId="0" applyFont="1" applyAlignment="1" applyProtection="1">
      <alignment vertical="top"/>
      <protection locked="0"/>
    </xf>
    <xf numFmtId="167" fontId="16" fillId="0" borderId="0" xfId="1" applyNumberFormat="1" applyFont="1" applyBorder="1" applyAlignment="1" applyProtection="1">
      <alignment horizontal="right" shrinkToFit="1"/>
      <protection locked="0"/>
    </xf>
    <xf numFmtId="167" fontId="16" fillId="0" borderId="0" xfId="1" applyNumberFormat="1" applyFont="1" applyAlignment="1" applyProtection="1">
      <alignment horizontal="right" shrinkToFit="1"/>
      <protection locked="0"/>
    </xf>
    <xf numFmtId="167" fontId="16" fillId="0" borderId="5" xfId="1" applyNumberFormat="1" applyFont="1" applyFill="1" applyBorder="1" applyAlignment="1" applyProtection="1">
      <alignment horizontal="right" shrinkToFit="1"/>
    </xf>
    <xf numFmtId="167" fontId="16" fillId="3" borderId="17" xfId="1" applyNumberFormat="1" applyFont="1" applyFill="1" applyBorder="1" applyAlignment="1" applyProtection="1">
      <alignment horizontal="right" shrinkToFit="1"/>
    </xf>
    <xf numFmtId="0" fontId="17" fillId="2" borderId="0" xfId="0" applyFont="1" applyFill="1" applyAlignment="1" applyProtection="1">
      <alignment horizontal="left" vertical="center"/>
      <protection locked="0"/>
    </xf>
    <xf numFmtId="41" fontId="17" fillId="2" borderId="0" xfId="1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9" fontId="20" fillId="0" borderId="0" xfId="1" applyNumberFormat="1" applyFont="1" applyAlignment="1" applyProtection="1">
      <alignment vertical="center" wrapText="1"/>
      <protection locked="0"/>
    </xf>
    <xf numFmtId="167" fontId="16" fillId="0" borderId="11" xfId="1" applyNumberFormat="1" applyFont="1" applyBorder="1" applyAlignment="1" applyProtection="1">
      <alignment horizontal="right" vertical="center" shrinkToFit="1"/>
      <protection locked="0"/>
    </xf>
    <xf numFmtId="167" fontId="23" fillId="0" borderId="0" xfId="0" applyNumberFormat="1" applyFont="1" applyAlignment="1" applyProtection="1">
      <alignment horizontal="right" vertical="top" shrinkToFit="1"/>
      <protection locked="0"/>
    </xf>
    <xf numFmtId="167" fontId="16" fillId="3" borderId="11" xfId="1" applyNumberFormat="1" applyFont="1" applyFill="1" applyBorder="1" applyAlignment="1" applyProtection="1">
      <alignment horizontal="right" vertical="center" shrinkToFit="1"/>
      <protection locked="0"/>
    </xf>
    <xf numFmtId="167" fontId="16" fillId="0" borderId="22" xfId="1" applyNumberFormat="1" applyFont="1" applyBorder="1" applyAlignment="1" applyProtection="1">
      <alignment horizontal="right" vertical="center" shrinkToFit="1"/>
      <protection locked="0"/>
    </xf>
    <xf numFmtId="167" fontId="16" fillId="0" borderId="15" xfId="1" applyNumberFormat="1" applyFont="1" applyBorder="1" applyAlignment="1" applyProtection="1">
      <alignment horizontal="right" vertical="center" shrinkToFit="1"/>
      <protection locked="0"/>
    </xf>
    <xf numFmtId="167" fontId="16" fillId="3" borderId="22" xfId="1" applyNumberFormat="1" applyFont="1" applyFill="1" applyBorder="1" applyAlignment="1" applyProtection="1">
      <alignment horizontal="right" vertical="center" shrinkToFit="1"/>
      <protection locked="0"/>
    </xf>
    <xf numFmtId="169" fontId="20" fillId="0" borderId="13" xfId="1" applyNumberFormat="1" applyFont="1" applyBorder="1" applyAlignment="1" applyProtection="1">
      <alignment vertical="center" wrapText="1"/>
      <protection locked="0"/>
    </xf>
    <xf numFmtId="167" fontId="16" fillId="3" borderId="17" xfId="1" applyNumberFormat="1" applyFont="1" applyFill="1" applyBorder="1" applyAlignment="1" applyProtection="1">
      <alignment horizontal="right" vertical="center" shrinkToFit="1"/>
    </xf>
    <xf numFmtId="0" fontId="23" fillId="0" borderId="23" xfId="0" applyFont="1" applyBorder="1" applyAlignment="1" applyProtection="1">
      <alignment horizontal="right" vertical="top" wrapText="1"/>
      <protection locked="0"/>
    </xf>
    <xf numFmtId="0" fontId="23" fillId="0" borderId="0" xfId="0" applyFont="1" applyAlignment="1" applyProtection="1">
      <alignment horizontal="right" vertical="top" wrapText="1"/>
      <protection locked="0"/>
    </xf>
    <xf numFmtId="167" fontId="16" fillId="3" borderId="20" xfId="1" applyNumberFormat="1" applyFont="1" applyFill="1" applyBorder="1" applyAlignment="1" applyProtection="1">
      <alignment horizontal="right" vertical="center" shrinkToFit="1"/>
      <protection locked="0"/>
    </xf>
    <xf numFmtId="0" fontId="28" fillId="0" borderId="0" xfId="0" applyFont="1" applyAlignment="1" applyProtection="1">
      <alignment vertical="top" wrapText="1"/>
      <protection locked="0"/>
    </xf>
    <xf numFmtId="169" fontId="29" fillId="3" borderId="0" xfId="0" applyNumberFormat="1" applyFont="1" applyFill="1" applyAlignment="1">
      <alignment horizontal="right" wrapText="1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0" fontId="33" fillId="0" borderId="0" xfId="0" applyFont="1" applyAlignment="1" applyProtection="1">
      <alignment horizontal="center" vertical="top" wrapText="1"/>
      <protection locked="0"/>
    </xf>
    <xf numFmtId="0" fontId="32" fillId="0" borderId="0" xfId="0" applyFont="1" applyAlignment="1" applyProtection="1">
      <alignment horizontal="center" vertical="top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169" fontId="19" fillId="0" borderId="0" xfId="1" applyNumberFormat="1" applyFont="1" applyAlignment="1" applyProtection="1">
      <alignment vertical="top" wrapText="1"/>
      <protection locked="0"/>
    </xf>
    <xf numFmtId="169" fontId="16" fillId="0" borderId="11" xfId="1" applyNumberFormat="1" applyFont="1" applyBorder="1" applyAlignment="1" applyProtection="1">
      <alignment horizontal="right" vertical="top" wrapText="1"/>
      <protection locked="0"/>
    </xf>
    <xf numFmtId="169" fontId="19" fillId="0" borderId="0" xfId="1" applyNumberFormat="1" applyFont="1" applyBorder="1" applyAlignment="1" applyProtection="1">
      <alignment vertical="top" wrapText="1"/>
      <protection locked="0"/>
    </xf>
    <xf numFmtId="169" fontId="16" fillId="0" borderId="22" xfId="1" applyNumberFormat="1" applyFont="1" applyBorder="1" applyAlignment="1" applyProtection="1">
      <alignment horizontal="right" vertical="top" wrapText="1"/>
      <protection locked="0"/>
    </xf>
    <xf numFmtId="0" fontId="27" fillId="0" borderId="0" xfId="0" applyFont="1" applyAlignment="1" applyProtection="1">
      <alignment vertical="top" wrapText="1"/>
      <protection locked="0"/>
    </xf>
    <xf numFmtId="41" fontId="20" fillId="0" borderId="0" xfId="1" applyNumberFormat="1" applyFont="1" applyBorder="1" applyAlignment="1" applyProtection="1">
      <alignment horizontal="left" vertical="top" wrapText="1"/>
      <protection locked="0"/>
    </xf>
    <xf numFmtId="169" fontId="26" fillId="0" borderId="0" xfId="1" applyNumberFormat="1" applyFont="1" applyBorder="1" applyAlignment="1" applyProtection="1">
      <alignment horizontal="center" vertical="center" wrapText="1"/>
      <protection locked="0"/>
    </xf>
    <xf numFmtId="169" fontId="16" fillId="0" borderId="20" xfId="1" applyNumberFormat="1" applyFont="1" applyBorder="1" applyAlignment="1" applyProtection="1">
      <alignment horizontal="right" vertical="top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41" fontId="16" fillId="0" borderId="11" xfId="1" applyNumberFormat="1" applyFont="1" applyBorder="1" applyAlignment="1" applyProtection="1">
      <alignment horizontal="right" vertical="top" wrapText="1"/>
      <protection locked="0"/>
    </xf>
    <xf numFmtId="41" fontId="16" fillId="0" borderId="22" xfId="1" applyNumberFormat="1" applyFont="1" applyBorder="1" applyAlignment="1" applyProtection="1">
      <alignment horizontal="right" vertical="top" wrapText="1"/>
      <protection locked="0"/>
    </xf>
    <xf numFmtId="41" fontId="16" fillId="0" borderId="20" xfId="1" applyNumberFormat="1" applyFont="1" applyBorder="1" applyAlignment="1" applyProtection="1">
      <alignment horizontal="right" vertical="top" wrapText="1"/>
      <protection locked="0"/>
    </xf>
    <xf numFmtId="0" fontId="20" fillId="0" borderId="0" xfId="0" applyFont="1" applyAlignment="1" applyProtection="1">
      <alignment horizontal="right" vertical="top" wrapText="1"/>
      <protection locked="0"/>
    </xf>
    <xf numFmtId="41" fontId="20" fillId="0" borderId="0" xfId="1" applyNumberFormat="1" applyFont="1" applyBorder="1" applyAlignment="1" applyProtection="1">
      <alignment vertical="top" wrapText="1"/>
      <protection locked="0"/>
    </xf>
    <xf numFmtId="3" fontId="16" fillId="0" borderId="11" xfId="1" applyNumberFormat="1" applyFont="1" applyBorder="1" applyAlignment="1" applyProtection="1">
      <alignment horizontal="right" vertical="top" wrapText="1"/>
      <protection locked="0"/>
    </xf>
    <xf numFmtId="3" fontId="16" fillId="0" borderId="22" xfId="1" applyNumberFormat="1" applyFont="1" applyBorder="1" applyAlignment="1" applyProtection="1">
      <alignment horizontal="right" vertical="top" wrapText="1"/>
      <protection locked="0"/>
    </xf>
    <xf numFmtId="0" fontId="26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Protection="1">
      <protection locked="0"/>
    </xf>
    <xf numFmtId="0" fontId="16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top" wrapText="1"/>
    </xf>
    <xf numFmtId="0" fontId="23" fillId="0" borderId="0" xfId="0" applyFont="1" applyAlignment="1">
      <alignment vertical="center"/>
    </xf>
    <xf numFmtId="166" fontId="0" fillId="0" borderId="11" xfId="0" applyNumberFormat="1" applyBorder="1"/>
    <xf numFmtId="166" fontId="26" fillId="0" borderId="11" xfId="0" applyNumberFormat="1" applyFont="1" applyBorder="1" applyAlignment="1">
      <alignment horizontal="center"/>
    </xf>
    <xf numFmtId="0" fontId="2" fillId="0" borderId="0" xfId="0" applyFont="1"/>
    <xf numFmtId="4" fontId="2" fillId="0" borderId="0" xfId="0" applyNumberFormat="1" applyFont="1"/>
    <xf numFmtId="49" fontId="3" fillId="0" borderId="0" xfId="0" applyNumberFormat="1" applyFont="1"/>
    <xf numFmtId="49" fontId="11" fillId="0" borderId="0" xfId="0" applyNumberFormat="1" applyFont="1"/>
    <xf numFmtId="4" fontId="11" fillId="0" borderId="0" xfId="0" applyNumberFormat="1" applyFont="1"/>
    <xf numFmtId="0" fontId="38" fillId="0" borderId="0" xfId="0" applyFont="1"/>
    <xf numFmtId="4" fontId="3" fillId="0" borderId="0" xfId="2" applyNumberFormat="1"/>
    <xf numFmtId="0" fontId="11" fillId="0" borderId="0" xfId="2" applyFont="1"/>
    <xf numFmtId="2" fontId="3" fillId="0" borderId="0" xfId="2" applyNumberFormat="1"/>
    <xf numFmtId="0" fontId="39" fillId="0" borderId="0" xfId="0" applyFont="1"/>
    <xf numFmtId="4" fontId="40" fillId="0" borderId="0" xfId="0" applyNumberFormat="1" applyFont="1"/>
    <xf numFmtId="0" fontId="41" fillId="0" borderId="0" xfId="0" applyFont="1"/>
    <xf numFmtId="49" fontId="40" fillId="0" borderId="0" xfId="0" applyNumberFormat="1" applyFont="1"/>
    <xf numFmtId="170" fontId="0" fillId="0" borderId="0" xfId="0" applyNumberFormat="1"/>
    <xf numFmtId="0" fontId="0" fillId="5" borderId="0" xfId="0" applyFill="1"/>
    <xf numFmtId="4" fontId="38" fillId="0" borderId="0" xfId="0" applyNumberFormat="1" applyFont="1"/>
    <xf numFmtId="4" fontId="3" fillId="5" borderId="0" xfId="0" applyNumberFormat="1" applyFont="1" applyFill="1"/>
    <xf numFmtId="4" fontId="3" fillId="6" borderId="0" xfId="2" applyNumberFormat="1" applyFill="1"/>
    <xf numFmtId="4" fontId="41" fillId="0" borderId="0" xfId="0" applyNumberFormat="1" applyFont="1"/>
    <xf numFmtId="4" fontId="42" fillId="0" borderId="0" xfId="0" applyNumberFormat="1" applyFont="1"/>
    <xf numFmtId="49" fontId="3" fillId="5" borderId="0" xfId="0" applyNumberFormat="1" applyFont="1" applyFill="1"/>
    <xf numFmtId="0" fontId="3" fillId="0" borderId="0" xfId="2" applyAlignment="1">
      <alignment horizontal="center" wrapText="1"/>
    </xf>
    <xf numFmtId="0" fontId="3" fillId="0" borderId="31" xfId="2" applyBorder="1" applyAlignment="1">
      <alignment horizontal="center"/>
    </xf>
    <xf numFmtId="0" fontId="3" fillId="0" borderId="1" xfId="2" applyBorder="1" applyAlignment="1">
      <alignment horizontal="center"/>
    </xf>
    <xf numFmtId="0" fontId="3" fillId="7" borderId="32" xfId="2" applyFill="1" applyBorder="1" applyAlignment="1">
      <alignment horizontal="center"/>
    </xf>
    <xf numFmtId="0" fontId="3" fillId="7" borderId="2" xfId="2" applyFill="1" applyBorder="1" applyAlignment="1">
      <alignment horizontal="center"/>
    </xf>
    <xf numFmtId="0" fontId="3" fillId="0" borderId="2" xfId="2" applyBorder="1" applyAlignment="1">
      <alignment horizontal="center" wrapText="1"/>
    </xf>
    <xf numFmtId="0" fontId="3" fillId="0" borderId="0" xfId="2" applyAlignment="1">
      <alignment horizontal="center"/>
    </xf>
    <xf numFmtId="0" fontId="3" fillId="8" borderId="32" xfId="2" applyFill="1" applyBorder="1" applyAlignment="1">
      <alignment horizontal="center"/>
    </xf>
    <xf numFmtId="0" fontId="3" fillId="8" borderId="33" xfId="2" applyFill="1" applyBorder="1" applyAlignment="1">
      <alignment horizontal="center"/>
    </xf>
    <xf numFmtId="0" fontId="3" fillId="8" borderId="2" xfId="2" applyFill="1" applyBorder="1" applyAlignment="1">
      <alignment horizontal="center"/>
    </xf>
    <xf numFmtId="0" fontId="3" fillId="8" borderId="7" xfId="2" applyFill="1" applyBorder="1" applyAlignment="1">
      <alignment horizontal="center"/>
    </xf>
    <xf numFmtId="0" fontId="3" fillId="0" borderId="7" xfId="2" applyBorder="1" applyAlignment="1">
      <alignment horizontal="center" wrapText="1"/>
    </xf>
    <xf numFmtId="0" fontId="3" fillId="4" borderId="34" xfId="2" applyFill="1" applyBorder="1" applyAlignment="1">
      <alignment horizontal="center"/>
    </xf>
    <xf numFmtId="0" fontId="3" fillId="4" borderId="5" xfId="2" applyFill="1" applyBorder="1" applyAlignment="1">
      <alignment horizontal="center"/>
    </xf>
    <xf numFmtId="0" fontId="3" fillId="4" borderId="35" xfId="2" applyFill="1" applyBorder="1" applyAlignment="1">
      <alignment horizontal="center"/>
    </xf>
    <xf numFmtId="0" fontId="3" fillId="4" borderId="6" xfId="2" applyFill="1" applyBorder="1" applyAlignment="1">
      <alignment horizontal="center"/>
    </xf>
    <xf numFmtId="0" fontId="3" fillId="0" borderId="36" xfId="2" applyBorder="1" applyAlignment="1">
      <alignment horizontal="center" wrapText="1"/>
    </xf>
    <xf numFmtId="0" fontId="3" fillId="0" borderId="37" xfId="2" applyBorder="1" applyAlignment="1">
      <alignment horizont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14" fontId="10" fillId="0" borderId="27" xfId="0" applyNumberFormat="1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14" fontId="42" fillId="0" borderId="27" xfId="0" applyNumberFormat="1" applyFont="1" applyBorder="1" applyAlignment="1" applyProtection="1">
      <alignment horizontal="center" vertical="top" wrapText="1"/>
      <protection locked="0"/>
    </xf>
    <xf numFmtId="0" fontId="42" fillId="0" borderId="6" xfId="0" applyFont="1" applyBorder="1" applyAlignment="1" applyProtection="1">
      <alignment horizontal="center" vertical="top" wrapText="1"/>
      <protection locked="0"/>
    </xf>
    <xf numFmtId="0" fontId="42" fillId="0" borderId="28" xfId="0" applyFont="1" applyBorder="1" applyAlignment="1" applyProtection="1">
      <alignment horizontal="center" vertical="top" wrapText="1"/>
      <protection locked="0"/>
    </xf>
    <xf numFmtId="166" fontId="16" fillId="0" borderId="6" xfId="0" applyNumberFormat="1" applyFont="1" applyBorder="1" applyAlignment="1" applyProtection="1">
      <alignment horizontal="center" vertical="center"/>
      <protection locked="0"/>
    </xf>
    <xf numFmtId="166" fontId="16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center" vertical="top"/>
      <protection locked="0"/>
    </xf>
    <xf numFmtId="0" fontId="15" fillId="0" borderId="10" xfId="0" applyFont="1" applyBorder="1" applyAlignment="1" applyProtection="1">
      <alignment horizontal="center" vertical="top"/>
      <protection locked="0"/>
    </xf>
    <xf numFmtId="0" fontId="15" fillId="0" borderId="9" xfId="0" applyFont="1" applyBorder="1" applyAlignment="1" applyProtection="1">
      <alignment horizontal="center" vertical="top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41" fontId="12" fillId="0" borderId="0" xfId="1" applyNumberFormat="1" applyFont="1" applyFill="1" applyAlignment="1" applyProtection="1">
      <alignment horizontal="left"/>
      <protection locked="0"/>
    </xf>
    <xf numFmtId="168" fontId="17" fillId="2" borderId="0" xfId="0" applyNumberFormat="1" applyFont="1" applyFill="1" applyAlignment="1" applyProtection="1">
      <alignment horizontal="left" vertical="center"/>
      <protection locked="0"/>
    </xf>
    <xf numFmtId="41" fontId="18" fillId="0" borderId="0" xfId="1" applyNumberFormat="1" applyFont="1" applyBorder="1" applyAlignment="1" applyProtection="1">
      <alignment horizontal="center" wrapText="1"/>
      <protection locked="0"/>
    </xf>
    <xf numFmtId="41" fontId="19" fillId="0" borderId="0" xfId="1" applyNumberFormat="1" applyFont="1" applyBorder="1" applyAlignment="1" applyProtection="1">
      <alignment horizontal="right" vertical="top" wrapText="1"/>
      <protection locked="0"/>
    </xf>
    <xf numFmtId="0" fontId="13" fillId="0" borderId="29" xfId="0" applyFont="1" applyBorder="1" applyAlignment="1" applyProtection="1">
      <alignment vertical="top" wrapText="1"/>
      <protection locked="0"/>
    </xf>
    <xf numFmtId="0" fontId="27" fillId="0" borderId="29" xfId="0" applyFont="1" applyBorder="1" applyAlignment="1" applyProtection="1">
      <alignment vertical="top" wrapText="1"/>
      <protection locked="0"/>
    </xf>
    <xf numFmtId="41" fontId="23" fillId="0" borderId="11" xfId="1" applyNumberFormat="1" applyFont="1" applyBorder="1" applyAlignment="1" applyProtection="1">
      <alignment horizontal="left" vertical="top" wrapText="1"/>
      <protection locked="0"/>
    </xf>
    <xf numFmtId="41" fontId="23" fillId="0" borderId="8" xfId="1" applyNumberFormat="1" applyFont="1" applyBorder="1" applyAlignment="1" applyProtection="1">
      <alignment horizontal="left" vertical="top" wrapText="1"/>
      <protection locked="0"/>
    </xf>
    <xf numFmtId="41" fontId="23" fillId="0" borderId="10" xfId="1" applyNumberFormat="1" applyFont="1" applyBorder="1" applyAlignment="1" applyProtection="1">
      <alignment horizontal="left" vertical="top" wrapText="1"/>
      <protection locked="0"/>
    </xf>
    <xf numFmtId="41" fontId="23" fillId="0" borderId="9" xfId="1" applyNumberFormat="1" applyFont="1" applyBorder="1" applyAlignment="1" applyProtection="1">
      <alignment horizontal="left" vertical="top" wrapText="1"/>
      <protection locked="0"/>
    </xf>
    <xf numFmtId="41" fontId="16" fillId="0" borderId="30" xfId="1" applyNumberFormat="1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41" fontId="11" fillId="0" borderId="0" xfId="1" applyNumberFormat="1" applyFont="1" applyProtection="1"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1" fontId="32" fillId="0" borderId="6" xfId="1" applyNumberFormat="1" applyFont="1" applyBorder="1" applyAlignment="1" applyProtection="1">
      <alignment horizontal="right" vertical="top" wrapText="1"/>
      <protection locked="0"/>
    </xf>
    <xf numFmtId="41" fontId="23" fillId="0" borderId="11" xfId="1" applyNumberFormat="1" applyFont="1" applyBorder="1" applyAlignment="1" applyProtection="1">
      <alignment horizontal="left" wrapText="1"/>
      <protection locked="0"/>
    </xf>
    <xf numFmtId="0" fontId="23" fillId="0" borderId="8" xfId="0" applyFont="1" applyBorder="1" applyAlignment="1" applyProtection="1">
      <alignment horizontal="center" vertical="top" wrapText="1"/>
      <protection locked="0"/>
    </xf>
    <xf numFmtId="0" fontId="23" fillId="0" borderId="10" xfId="0" applyFont="1" applyBorder="1" applyAlignment="1" applyProtection="1">
      <alignment horizontal="center" vertical="top" wrapText="1"/>
      <protection locked="0"/>
    </xf>
    <xf numFmtId="0" fontId="23" fillId="0" borderId="9" xfId="0" applyFont="1" applyBorder="1" applyAlignment="1" applyProtection="1">
      <alignment horizontal="center" vertical="top" wrapText="1"/>
      <protection locked="0"/>
    </xf>
    <xf numFmtId="41" fontId="11" fillId="0" borderId="0" xfId="1" applyNumberFormat="1" applyFont="1" applyBorder="1" applyProtection="1">
      <protection locked="0"/>
    </xf>
    <xf numFmtId="0" fontId="23" fillId="0" borderId="8" xfId="0" applyFont="1" applyBorder="1" applyAlignment="1" applyProtection="1">
      <alignment horizontal="center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23" fillId="0" borderId="8" xfId="0" applyFont="1" applyBorder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horizontal="center" wrapText="1"/>
      <protection locked="0"/>
    </xf>
    <xf numFmtId="0" fontId="23" fillId="0" borderId="9" xfId="0" applyFont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6" fillId="0" borderId="8" xfId="0" applyFont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/>
    </xf>
    <xf numFmtId="0" fontId="35" fillId="0" borderId="10" xfId="0" applyFont="1" applyBorder="1" applyAlignment="1">
      <alignment horizontal="center" vertical="top"/>
    </xf>
    <xf numFmtId="0" fontId="35" fillId="0" borderId="9" xfId="0" applyFont="1" applyBorder="1" applyAlignment="1">
      <alignment horizontal="center" vertical="top"/>
    </xf>
    <xf numFmtId="0" fontId="7" fillId="8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7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BDB94429-0E61-4FB6-BE41-ACCE539A03FD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25</xdr:row>
      <xdr:rowOff>0</xdr:rowOff>
    </xdr:from>
    <xdr:to>
      <xdr:col>4</xdr:col>
      <xdr:colOff>1729425</xdr:colOff>
      <xdr:row>30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85F872-B8E0-43B6-B727-F3F7AD10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057650"/>
          <a:ext cx="6491924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bennett\AppData\Local\Microsoft\Windows\INetCache\Content.Outlook\Q0SZD1GX\Quorum\Comp%20Finances%202016_17\Monthly%20P&amp;L%202016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bennett\Downloads\2015-02-24-rp-accs-cs-version-excel-with-amended-c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tracker"/>
      <sheetName val="Year summary"/>
      <sheetName val="Invoice summary"/>
      <sheetName val="Expenses summary"/>
      <sheetName val="Profit and loss August 2016"/>
    </sheetNames>
    <sheetDataSet>
      <sheetData sheetId="0"/>
      <sheetData sheetId="1"/>
      <sheetData sheetId="2">
        <row r="8">
          <cell r="H8" t="str">
            <v>Created</v>
          </cell>
        </row>
        <row r="9">
          <cell r="H9" t="str">
            <v>Submitted</v>
          </cell>
        </row>
        <row r="10">
          <cell r="H10" t="str">
            <v>Paid</v>
          </cell>
        </row>
      </sheetData>
      <sheetData sheetId="3">
        <row r="2">
          <cell r="I2" t="str">
            <v>Created</v>
          </cell>
        </row>
        <row r="3">
          <cell r="I3" t="str">
            <v>Submitted</v>
          </cell>
        </row>
        <row r="4">
          <cell r="I4" t="str">
            <v>Paid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P Accounts"/>
      <sheetName val="Statement of balances"/>
      <sheetName val="Notes"/>
      <sheetName val="Additional notes (1)  "/>
      <sheetName val="Additional notes (2)"/>
      <sheetName val="Additional notes (3)"/>
    </sheetNames>
    <sheetDataSet>
      <sheetData sheetId="0">
        <row r="55">
          <cell r="B55">
            <v>0</v>
          </cell>
          <cell r="D55">
            <v>0</v>
          </cell>
          <cell r="F55">
            <v>0</v>
          </cell>
          <cell r="H55">
            <v>0</v>
          </cell>
          <cell r="J55">
            <v>0</v>
          </cell>
          <cell r="L5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6071-94CC-432B-8F71-08F2269AB4AE}">
  <dimension ref="A1:M56"/>
  <sheetViews>
    <sheetView topLeftCell="A9" workbookViewId="0">
      <selection activeCell="K5" sqref="K5"/>
    </sheetView>
  </sheetViews>
  <sheetFormatPr defaultColWidth="9.15234375" defaultRowHeight="12.5" x14ac:dyDescent="0.25"/>
  <cols>
    <col min="1" max="1" width="35.3046875" style="25" customWidth="1"/>
    <col min="2" max="2" width="16.15234375" style="31" customWidth="1"/>
    <col min="3" max="3" width="1.69140625" style="25" customWidth="1"/>
    <col min="4" max="4" width="16.3046875" style="25" customWidth="1"/>
    <col min="5" max="5" width="1.4609375" style="25" customWidth="1"/>
    <col min="6" max="6" width="13.84375" style="25" customWidth="1"/>
    <col min="7" max="7" width="3.4609375" style="25" customWidth="1"/>
    <col min="8" max="8" width="15.4609375" style="25" customWidth="1"/>
    <col min="9" max="9" width="1.4609375" style="25" customWidth="1"/>
    <col min="10" max="10" width="16" style="25" customWidth="1"/>
    <col min="11" max="11" width="1.4609375" style="25" customWidth="1"/>
    <col min="12" max="12" width="16.84375" style="25" customWidth="1"/>
    <col min="13" max="16384" width="9.15234375" style="25"/>
  </cols>
  <sheetData>
    <row r="1" spans="1:13" ht="18" customHeight="1" x14ac:dyDescent="0.25">
      <c r="A1" s="211"/>
      <c r="B1" s="212" t="s">
        <v>53</v>
      </c>
      <c r="C1" s="212"/>
      <c r="D1" s="212"/>
      <c r="E1" s="212"/>
      <c r="F1" s="212"/>
      <c r="G1" s="212"/>
      <c r="H1" s="212"/>
      <c r="I1" s="212"/>
      <c r="J1" s="212"/>
      <c r="L1" s="26" t="s">
        <v>54</v>
      </c>
      <c r="M1" s="27"/>
    </row>
    <row r="2" spans="1:13" ht="30.75" customHeight="1" x14ac:dyDescent="0.25">
      <c r="A2" s="211"/>
      <c r="B2" s="213" t="s">
        <v>133</v>
      </c>
      <c r="C2" s="213"/>
      <c r="D2" s="213"/>
      <c r="E2" s="213"/>
      <c r="F2" s="213"/>
      <c r="G2" s="213"/>
      <c r="H2" s="213"/>
      <c r="I2" s="213"/>
      <c r="J2" s="213"/>
      <c r="L2" s="28" t="s">
        <v>134</v>
      </c>
      <c r="M2" s="29"/>
    </row>
    <row r="3" spans="1:13" ht="24" customHeight="1" x14ac:dyDescent="0.25">
      <c r="A3" s="211"/>
      <c r="B3" s="214" t="s">
        <v>55</v>
      </c>
      <c r="C3" s="215"/>
      <c r="D3" s="215"/>
      <c r="E3" s="215"/>
      <c r="F3" s="215"/>
      <c r="G3" s="215"/>
      <c r="H3" s="215"/>
      <c r="I3" s="215"/>
      <c r="J3" s="216"/>
      <c r="L3" s="30"/>
    </row>
    <row r="4" spans="1:13" ht="14.25" customHeight="1" x14ac:dyDescent="0.25">
      <c r="A4" s="211"/>
      <c r="B4" s="217" t="s">
        <v>56</v>
      </c>
      <c r="C4" s="219"/>
      <c r="D4" s="203"/>
      <c r="E4" s="204"/>
      <c r="F4" s="205"/>
      <c r="G4" s="202" t="s">
        <v>57</v>
      </c>
      <c r="H4" s="203"/>
      <c r="I4" s="204"/>
      <c r="J4" s="205"/>
      <c r="L4" s="30"/>
    </row>
    <row r="5" spans="1:13" ht="16.5" customHeight="1" x14ac:dyDescent="0.25">
      <c r="A5" s="211"/>
      <c r="B5" s="217"/>
      <c r="C5" s="219"/>
      <c r="D5" s="206">
        <v>44043</v>
      </c>
      <c r="E5" s="207"/>
      <c r="F5" s="208"/>
      <c r="G5" s="202"/>
      <c r="H5" s="206">
        <v>44407</v>
      </c>
      <c r="I5" s="207"/>
      <c r="J5" s="208"/>
      <c r="L5" s="30"/>
    </row>
    <row r="6" spans="1:13" ht="21" customHeight="1" x14ac:dyDescent="0.25">
      <c r="A6" s="211"/>
      <c r="B6" s="218"/>
      <c r="C6" s="219"/>
      <c r="D6" s="209"/>
      <c r="E6" s="209"/>
      <c r="F6" s="209"/>
      <c r="G6" s="202"/>
      <c r="H6" s="210"/>
      <c r="I6" s="210"/>
      <c r="J6" s="210"/>
      <c r="L6" s="30"/>
    </row>
    <row r="8" spans="1:13" ht="20" x14ac:dyDescent="0.4">
      <c r="A8" s="32" t="s">
        <v>58</v>
      </c>
      <c r="B8" s="33"/>
      <c r="C8" s="32"/>
      <c r="D8" s="32"/>
      <c r="E8" s="32"/>
      <c r="F8" s="32"/>
      <c r="G8" s="32"/>
      <c r="H8" s="32"/>
      <c r="I8" s="32"/>
      <c r="J8" s="32"/>
      <c r="K8" s="34"/>
      <c r="L8" s="35"/>
    </row>
    <row r="9" spans="1:13" ht="42" x14ac:dyDescent="0.3">
      <c r="A9" s="36"/>
      <c r="B9" s="37" t="s">
        <v>59</v>
      </c>
      <c r="C9" s="38"/>
      <c r="D9" s="38" t="s">
        <v>60</v>
      </c>
      <c r="E9" s="38"/>
      <c r="F9" s="38" t="s">
        <v>61</v>
      </c>
      <c r="G9" s="38"/>
      <c r="H9" s="38" t="s">
        <v>62</v>
      </c>
      <c r="I9" s="38"/>
      <c r="J9" s="38" t="s">
        <v>63</v>
      </c>
      <c r="K9" s="39"/>
      <c r="L9" s="38" t="s">
        <v>64</v>
      </c>
    </row>
    <row r="10" spans="1:13" ht="24" customHeight="1" x14ac:dyDescent="0.3">
      <c r="A10" s="40"/>
      <c r="B10" s="41" t="s">
        <v>65</v>
      </c>
      <c r="C10" s="42"/>
      <c r="D10" s="41" t="s">
        <v>65</v>
      </c>
      <c r="E10" s="41"/>
      <c r="F10" s="41" t="s">
        <v>65</v>
      </c>
      <c r="G10" s="41"/>
      <c r="H10" s="41" t="s">
        <v>65</v>
      </c>
      <c r="I10" s="41"/>
      <c r="J10" s="41" t="s">
        <v>65</v>
      </c>
      <c r="K10" s="41"/>
      <c r="L10" s="41" t="s">
        <v>65</v>
      </c>
    </row>
    <row r="11" spans="1:13" ht="20" customHeight="1" x14ac:dyDescent="0.3">
      <c r="A11" s="43" t="s">
        <v>66</v>
      </c>
      <c r="B11" s="44"/>
      <c r="C11" s="45"/>
      <c r="D11" s="45"/>
      <c r="E11" s="45"/>
      <c r="F11" s="45"/>
      <c r="G11" s="45"/>
      <c r="H11" s="45"/>
      <c r="I11" s="45"/>
      <c r="J11" s="45"/>
      <c r="K11" s="46"/>
    </row>
    <row r="12" spans="1:13" ht="20" customHeight="1" x14ac:dyDescent="0.3">
      <c r="A12" s="47" t="s">
        <v>67</v>
      </c>
      <c r="B12" s="48">
        <v>190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50">
        <f>H12+D12+B12+F12</f>
        <v>190</v>
      </c>
      <c r="K12" s="51"/>
      <c r="L12" s="48">
        <v>1314</v>
      </c>
    </row>
    <row r="13" spans="1:13" ht="20" customHeight="1" x14ac:dyDescent="0.3">
      <c r="A13" s="47" t="s">
        <v>68</v>
      </c>
      <c r="B13" s="48">
        <v>0</v>
      </c>
      <c r="C13" s="49"/>
      <c r="D13" s="48">
        <v>0</v>
      </c>
      <c r="E13" s="49"/>
      <c r="F13" s="48">
        <v>0</v>
      </c>
      <c r="G13" s="49"/>
      <c r="H13" s="48">
        <v>0</v>
      </c>
      <c r="I13" s="49"/>
      <c r="J13" s="50">
        <f t="shared" ref="J13:J21" si="0">H13+D13+B13+F13</f>
        <v>0</v>
      </c>
      <c r="K13" s="51"/>
      <c r="L13" s="48">
        <v>0</v>
      </c>
    </row>
    <row r="14" spans="1:13" ht="20" customHeight="1" x14ac:dyDescent="0.3">
      <c r="A14" s="47" t="s">
        <v>69</v>
      </c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50">
        <f t="shared" si="0"/>
        <v>0</v>
      </c>
      <c r="K14" s="51"/>
      <c r="L14" s="48">
        <v>0</v>
      </c>
    </row>
    <row r="15" spans="1:13" ht="20" customHeight="1" x14ac:dyDescent="0.3">
      <c r="A15" s="47" t="s">
        <v>70</v>
      </c>
      <c r="B15" s="48">
        <v>14618</v>
      </c>
      <c r="C15" s="49"/>
      <c r="D15" s="48">
        <v>0</v>
      </c>
      <c r="E15" s="49"/>
      <c r="F15" s="48">
        <v>0</v>
      </c>
      <c r="G15" s="49"/>
      <c r="H15" s="48">
        <v>0</v>
      </c>
      <c r="I15" s="49"/>
      <c r="J15" s="50">
        <f t="shared" si="0"/>
        <v>14618</v>
      </c>
      <c r="K15" s="51"/>
      <c r="L15" s="48">
        <v>3992</v>
      </c>
    </row>
    <row r="16" spans="1:13" ht="20" customHeight="1" x14ac:dyDescent="0.3">
      <c r="A16" s="47" t="s">
        <v>71</v>
      </c>
      <c r="B16" s="48"/>
      <c r="C16" s="49"/>
      <c r="D16" s="48">
        <v>0</v>
      </c>
      <c r="E16" s="49"/>
      <c r="F16" s="48">
        <v>0</v>
      </c>
      <c r="G16" s="49"/>
      <c r="H16" s="48">
        <v>0</v>
      </c>
      <c r="I16" s="49"/>
      <c r="J16" s="50">
        <f t="shared" si="0"/>
        <v>0</v>
      </c>
      <c r="K16" s="51"/>
      <c r="L16" s="48"/>
    </row>
    <row r="17" spans="1:12" ht="28" x14ac:dyDescent="0.3">
      <c r="A17" s="47" t="s">
        <v>72</v>
      </c>
      <c r="B17" s="48">
        <v>0</v>
      </c>
      <c r="C17" s="49"/>
      <c r="D17" s="48">
        <v>0</v>
      </c>
      <c r="E17" s="49"/>
      <c r="F17" s="48">
        <v>0</v>
      </c>
      <c r="G17" s="49"/>
      <c r="H17" s="48">
        <v>0</v>
      </c>
      <c r="I17" s="49"/>
      <c r="J17" s="50">
        <f t="shared" si="0"/>
        <v>0</v>
      </c>
      <c r="K17" s="51"/>
      <c r="L17" s="48"/>
    </row>
    <row r="18" spans="1:12" ht="20" customHeight="1" x14ac:dyDescent="0.3">
      <c r="A18" s="47" t="s">
        <v>73</v>
      </c>
      <c r="B18" s="48">
        <v>0</v>
      </c>
      <c r="C18" s="49"/>
      <c r="D18" s="48">
        <v>0</v>
      </c>
      <c r="E18" s="49"/>
      <c r="F18" s="48">
        <v>0</v>
      </c>
      <c r="G18" s="49"/>
      <c r="H18" s="48">
        <v>0</v>
      </c>
      <c r="I18" s="49"/>
      <c r="J18" s="50">
        <f t="shared" si="0"/>
        <v>0</v>
      </c>
      <c r="K18" s="51"/>
      <c r="L18" s="48"/>
    </row>
    <row r="19" spans="1:12" ht="14" x14ac:dyDescent="0.3">
      <c r="A19" s="47" t="s">
        <v>74</v>
      </c>
      <c r="B19" s="48">
        <v>0</v>
      </c>
      <c r="C19" s="49"/>
      <c r="D19" s="48">
        <v>0</v>
      </c>
      <c r="E19" s="49"/>
      <c r="F19" s="48">
        <v>0</v>
      </c>
      <c r="G19" s="49"/>
      <c r="H19" s="48">
        <v>0</v>
      </c>
      <c r="I19" s="49"/>
      <c r="J19" s="50">
        <f t="shared" si="0"/>
        <v>0</v>
      </c>
      <c r="K19" s="51"/>
      <c r="L19" s="48"/>
    </row>
    <row r="20" spans="1:12" ht="20" customHeight="1" x14ac:dyDescent="0.3">
      <c r="A20" s="47"/>
      <c r="B20" s="48"/>
      <c r="C20" s="49"/>
      <c r="D20" s="48"/>
      <c r="E20" s="49"/>
      <c r="F20" s="48"/>
      <c r="G20" s="49"/>
      <c r="H20" s="48"/>
      <c r="I20" s="49"/>
      <c r="J20" s="50">
        <f t="shared" si="0"/>
        <v>0</v>
      </c>
      <c r="K20" s="51"/>
      <c r="L20" s="48"/>
    </row>
    <row r="21" spans="1:12" ht="17.25" customHeight="1" thickBot="1" x14ac:dyDescent="0.4">
      <c r="A21" s="52" t="s">
        <v>75</v>
      </c>
      <c r="B21" s="53">
        <f>SUM(B12:B20)</f>
        <v>14808</v>
      </c>
      <c r="C21" s="54"/>
      <c r="D21" s="53">
        <f>SUM(D12:D20)</f>
        <v>0</v>
      </c>
      <c r="E21" s="49"/>
      <c r="F21" s="53">
        <f>SUM(F12:F20)</f>
        <v>0</v>
      </c>
      <c r="G21" s="49"/>
      <c r="H21" s="53">
        <f>SUM(H12:H20)</f>
        <v>0</v>
      </c>
      <c r="I21" s="49"/>
      <c r="J21" s="55">
        <f t="shared" si="0"/>
        <v>14808</v>
      </c>
      <c r="K21" s="51"/>
      <c r="L21" s="53">
        <f>SUM(L12:L20)</f>
        <v>5306</v>
      </c>
    </row>
    <row r="22" spans="1:12" ht="16.5" customHeight="1" thickTop="1" x14ac:dyDescent="0.25">
      <c r="A22" s="56"/>
      <c r="B22" s="57"/>
      <c r="C22" s="58"/>
      <c r="D22" s="58"/>
      <c r="E22" s="58"/>
      <c r="F22" s="58"/>
      <c r="G22" s="58"/>
      <c r="H22" s="58"/>
      <c r="I22" s="58"/>
      <c r="J22" s="59" t="str">
        <f>IF(B21+D21+F21+H21-J21=0," ","error")</f>
        <v xml:space="preserve"> </v>
      </c>
      <c r="K22" s="58"/>
      <c r="L22" s="60"/>
    </row>
    <row r="23" spans="1:12" ht="14" x14ac:dyDescent="0.3">
      <c r="A23" s="61" t="s">
        <v>76</v>
      </c>
      <c r="B23" s="62"/>
      <c r="C23" s="46"/>
      <c r="D23" s="46"/>
      <c r="E23" s="46"/>
      <c r="F23" s="46"/>
      <c r="G23" s="46"/>
      <c r="H23" s="46"/>
      <c r="I23" s="46"/>
      <c r="J23" s="46"/>
      <c r="K23" s="46"/>
    </row>
    <row r="24" spans="1:12" ht="20" customHeight="1" x14ac:dyDescent="0.3">
      <c r="A24" s="47" t="s">
        <v>77</v>
      </c>
      <c r="B24" s="48">
        <v>0</v>
      </c>
      <c r="C24" s="49"/>
      <c r="D24" s="48">
        <v>0</v>
      </c>
      <c r="E24" s="49"/>
      <c r="F24" s="48">
        <v>0</v>
      </c>
      <c r="G24" s="49"/>
      <c r="H24" s="48">
        <v>0</v>
      </c>
      <c r="I24" s="49"/>
      <c r="J24" s="50">
        <f>H24+D24+B24+F24</f>
        <v>0</v>
      </c>
      <c r="K24" s="51"/>
      <c r="L24" s="48"/>
    </row>
    <row r="25" spans="1:12" ht="20" customHeight="1" x14ac:dyDescent="0.3">
      <c r="A25" s="47" t="s">
        <v>78</v>
      </c>
      <c r="B25" s="48">
        <v>0</v>
      </c>
      <c r="C25" s="49"/>
      <c r="D25" s="48">
        <v>0</v>
      </c>
      <c r="E25" s="49"/>
      <c r="F25" s="48">
        <v>0</v>
      </c>
      <c r="G25" s="49"/>
      <c r="H25" s="48">
        <v>0</v>
      </c>
      <c r="I25" s="49"/>
      <c r="J25" s="50">
        <f>H25+D25+B25+F25</f>
        <v>0</v>
      </c>
      <c r="K25" s="51"/>
      <c r="L25" s="48"/>
    </row>
    <row r="26" spans="1:12" ht="17.25" customHeight="1" thickBot="1" x14ac:dyDescent="0.4">
      <c r="A26" s="52" t="s">
        <v>79</v>
      </c>
      <c r="B26" s="53">
        <f>SUM(B24:B25)</f>
        <v>0</v>
      </c>
      <c r="C26" s="54"/>
      <c r="D26" s="53">
        <f>SUM(D24:D25)</f>
        <v>0</v>
      </c>
      <c r="E26" s="49"/>
      <c r="F26" s="53">
        <f>SUM(F24:F25)</f>
        <v>0</v>
      </c>
      <c r="G26" s="49"/>
      <c r="H26" s="53">
        <f>SUM(H24:H25)</f>
        <v>0</v>
      </c>
      <c r="I26" s="49"/>
      <c r="J26" s="53">
        <f>SUM(J24:J25)</f>
        <v>0</v>
      </c>
      <c r="K26" s="51"/>
      <c r="L26" s="53">
        <f>SUM(L24:L25)</f>
        <v>0</v>
      </c>
    </row>
    <row r="27" spans="1:12" ht="8.25" customHeight="1" thickTop="1" x14ac:dyDescent="0.3">
      <c r="A27" s="63"/>
      <c r="B27" s="64"/>
      <c r="C27" s="65"/>
      <c r="D27" s="64"/>
      <c r="E27" s="65"/>
      <c r="F27" s="64"/>
      <c r="G27" s="65"/>
      <c r="H27" s="64"/>
      <c r="I27" s="66"/>
      <c r="J27" s="67" t="str">
        <f>IF(B26+D26+F26+H26-J26=0," ","error")</f>
        <v xml:space="preserve"> </v>
      </c>
      <c r="K27" s="51"/>
      <c r="L27" s="67"/>
    </row>
    <row r="28" spans="1:12" ht="20" customHeight="1" thickBot="1" x14ac:dyDescent="0.4">
      <c r="A28" s="52" t="s">
        <v>80</v>
      </c>
      <c r="B28" s="68">
        <f>B26+B21</f>
        <v>14808</v>
      </c>
      <c r="C28" s="66"/>
      <c r="D28" s="68">
        <f>D26+D21</f>
        <v>0</v>
      </c>
      <c r="E28" s="66"/>
      <c r="F28" s="68">
        <f>F26+F21</f>
        <v>0</v>
      </c>
      <c r="G28" s="66"/>
      <c r="H28" s="68">
        <f>H26+H21</f>
        <v>0</v>
      </c>
      <c r="I28" s="66"/>
      <c r="J28" s="68">
        <f>J26+J21</f>
        <v>14808</v>
      </c>
      <c r="K28" s="51"/>
      <c r="L28" s="68">
        <f>L26+L21</f>
        <v>5306</v>
      </c>
    </row>
    <row r="29" spans="1:12" ht="16.5" customHeight="1" thickTop="1" x14ac:dyDescent="0.25">
      <c r="B29" s="69"/>
      <c r="C29" s="60"/>
      <c r="D29" s="60"/>
      <c r="E29" s="60"/>
      <c r="F29" s="60"/>
      <c r="G29" s="60"/>
      <c r="H29" s="60"/>
      <c r="I29" s="60"/>
      <c r="J29" s="59" t="str">
        <f>IF(B28+D28+H28-J28=0," ","error")</f>
        <v xml:space="preserve"> </v>
      </c>
      <c r="K29" s="60"/>
      <c r="L29" s="60"/>
    </row>
    <row r="30" spans="1:12" ht="18" customHeight="1" x14ac:dyDescent="0.25">
      <c r="A30" s="70" t="s">
        <v>81</v>
      </c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ht="20" customHeight="1" x14ac:dyDescent="0.3">
      <c r="A31" s="73" t="s">
        <v>82</v>
      </c>
      <c r="B31" s="48">
        <v>253</v>
      </c>
      <c r="C31" s="64"/>
      <c r="D31" s="48">
        <v>0</v>
      </c>
      <c r="E31" s="49"/>
      <c r="F31" s="48">
        <v>0</v>
      </c>
      <c r="G31" s="49"/>
      <c r="H31" s="48">
        <v>0</v>
      </c>
      <c r="I31" s="49"/>
      <c r="J31" s="50">
        <f>H31+D31+B31+F31</f>
        <v>253</v>
      </c>
      <c r="K31" s="67"/>
      <c r="L31" s="48">
        <v>388</v>
      </c>
    </row>
    <row r="32" spans="1:12" ht="20" customHeight="1" x14ac:dyDescent="0.3">
      <c r="A32" s="73" t="s">
        <v>83</v>
      </c>
      <c r="B32" s="48">
        <v>1098</v>
      </c>
      <c r="C32" s="64"/>
      <c r="D32" s="48">
        <v>0</v>
      </c>
      <c r="E32" s="49"/>
      <c r="F32" s="48">
        <v>0</v>
      </c>
      <c r="G32" s="49"/>
      <c r="H32" s="48">
        <v>0</v>
      </c>
      <c r="I32" s="49"/>
      <c r="J32" s="50">
        <f t="shared" ref="J32:J41" si="1">H32+D32+B32+F32</f>
        <v>1098</v>
      </c>
      <c r="K32" s="67"/>
      <c r="L32" s="48">
        <v>1045</v>
      </c>
    </row>
    <row r="33" spans="1:12" ht="20" customHeight="1" x14ac:dyDescent="0.3">
      <c r="A33" s="73" t="s">
        <v>84</v>
      </c>
      <c r="B33" s="48"/>
      <c r="C33" s="64"/>
      <c r="D33" s="48">
        <v>0</v>
      </c>
      <c r="E33" s="49"/>
      <c r="F33" s="48">
        <v>0</v>
      </c>
      <c r="G33" s="49"/>
      <c r="H33" s="48">
        <v>0</v>
      </c>
      <c r="I33" s="49"/>
      <c r="J33" s="50">
        <f t="shared" si="1"/>
        <v>0</v>
      </c>
      <c r="K33" s="67"/>
      <c r="L33" s="48"/>
    </row>
    <row r="34" spans="1:12" ht="28" x14ac:dyDescent="0.3">
      <c r="A34" s="73" t="s">
        <v>85</v>
      </c>
      <c r="B34" s="48">
        <v>10123</v>
      </c>
      <c r="C34" s="64"/>
      <c r="D34" s="48">
        <v>0</v>
      </c>
      <c r="E34" s="49"/>
      <c r="F34" s="48">
        <v>0</v>
      </c>
      <c r="G34" s="49"/>
      <c r="H34" s="48">
        <v>0</v>
      </c>
      <c r="I34" s="49"/>
      <c r="J34" s="50">
        <f t="shared" si="1"/>
        <v>10123</v>
      </c>
      <c r="K34" s="67"/>
      <c r="L34" s="48">
        <v>3838</v>
      </c>
    </row>
    <row r="35" spans="1:12" ht="20" customHeight="1" x14ac:dyDescent="0.3">
      <c r="A35" s="73" t="s">
        <v>86</v>
      </c>
      <c r="B35" s="48">
        <v>0</v>
      </c>
      <c r="C35" s="64"/>
      <c r="D35" s="48">
        <v>0</v>
      </c>
      <c r="E35" s="49"/>
      <c r="F35" s="48">
        <v>0</v>
      </c>
      <c r="G35" s="49"/>
      <c r="H35" s="48">
        <v>0</v>
      </c>
      <c r="I35" s="49"/>
      <c r="J35" s="50">
        <f t="shared" si="1"/>
        <v>0</v>
      </c>
      <c r="K35" s="67"/>
      <c r="L35" s="48">
        <v>0</v>
      </c>
    </row>
    <row r="36" spans="1:12" ht="20" customHeight="1" x14ac:dyDescent="0.3">
      <c r="A36" s="73" t="s">
        <v>87</v>
      </c>
      <c r="B36" s="48">
        <v>0</v>
      </c>
      <c r="C36" s="64"/>
      <c r="D36" s="48">
        <v>0</v>
      </c>
      <c r="E36" s="49"/>
      <c r="F36" s="48">
        <v>0</v>
      </c>
      <c r="G36" s="49"/>
      <c r="H36" s="48">
        <v>0</v>
      </c>
      <c r="I36" s="49"/>
      <c r="J36" s="50">
        <f t="shared" si="1"/>
        <v>0</v>
      </c>
      <c r="K36" s="67"/>
      <c r="L36" s="48"/>
    </row>
    <row r="37" spans="1:12" ht="20" customHeight="1" x14ac:dyDescent="0.3">
      <c r="A37" s="74" t="s">
        <v>88</v>
      </c>
      <c r="B37" s="48">
        <v>0</v>
      </c>
      <c r="C37" s="64"/>
      <c r="D37" s="48">
        <v>0</v>
      </c>
      <c r="E37" s="49"/>
      <c r="F37" s="48">
        <v>0</v>
      </c>
      <c r="G37" s="49"/>
      <c r="H37" s="48">
        <v>0</v>
      </c>
      <c r="I37" s="49"/>
      <c r="J37" s="50">
        <f t="shared" si="1"/>
        <v>0</v>
      </c>
      <c r="K37" s="67"/>
      <c r="L37" s="48"/>
    </row>
    <row r="38" spans="1:12" ht="20" customHeight="1" x14ac:dyDescent="0.3">
      <c r="A38" s="74" t="s">
        <v>89</v>
      </c>
      <c r="B38" s="48">
        <v>0</v>
      </c>
      <c r="C38" s="64"/>
      <c r="D38" s="48">
        <v>0</v>
      </c>
      <c r="E38" s="49"/>
      <c r="F38" s="48">
        <v>0</v>
      </c>
      <c r="G38" s="49"/>
      <c r="H38" s="48">
        <v>0</v>
      </c>
      <c r="I38" s="49"/>
      <c r="J38" s="50">
        <f t="shared" si="1"/>
        <v>0</v>
      </c>
      <c r="K38" s="67"/>
      <c r="L38" s="48"/>
    </row>
    <row r="39" spans="1:12" ht="20" customHeight="1" x14ac:dyDescent="0.3">
      <c r="A39" s="74" t="s">
        <v>90</v>
      </c>
      <c r="B39" s="48">
        <v>0</v>
      </c>
      <c r="C39" s="64"/>
      <c r="D39" s="48">
        <v>0</v>
      </c>
      <c r="E39" s="49"/>
      <c r="F39" s="48">
        <v>0</v>
      </c>
      <c r="G39" s="49"/>
      <c r="H39" s="48">
        <v>0</v>
      </c>
      <c r="I39" s="49"/>
      <c r="J39" s="50">
        <f t="shared" si="1"/>
        <v>0</v>
      </c>
      <c r="K39" s="67"/>
      <c r="L39" s="48"/>
    </row>
    <row r="40" spans="1:12" ht="20" customHeight="1" x14ac:dyDescent="0.3">
      <c r="A40" s="74" t="s">
        <v>91</v>
      </c>
      <c r="B40" s="48"/>
      <c r="C40" s="64"/>
      <c r="D40" s="48">
        <v>0</v>
      </c>
      <c r="E40" s="49"/>
      <c r="F40" s="48">
        <v>0</v>
      </c>
      <c r="G40" s="49"/>
      <c r="H40" s="48">
        <v>0</v>
      </c>
      <c r="I40" s="49"/>
      <c r="J40" s="50">
        <f t="shared" si="1"/>
        <v>0</v>
      </c>
      <c r="K40" s="67"/>
      <c r="L40" s="48"/>
    </row>
    <row r="41" spans="1:12" ht="20" customHeight="1" thickBot="1" x14ac:dyDescent="0.35">
      <c r="A41" s="73"/>
      <c r="B41" s="75"/>
      <c r="C41" s="64"/>
      <c r="D41" s="75"/>
      <c r="E41" s="49"/>
      <c r="F41" s="75"/>
      <c r="G41" s="49"/>
      <c r="H41" s="75"/>
      <c r="I41" s="49"/>
      <c r="J41" s="50">
        <f t="shared" si="1"/>
        <v>0</v>
      </c>
      <c r="K41" s="67"/>
      <c r="L41" s="75"/>
    </row>
    <row r="42" spans="1:12" ht="20" customHeight="1" thickTop="1" thickBot="1" x14ac:dyDescent="0.35">
      <c r="A42" s="76" t="s">
        <v>92</v>
      </c>
      <c r="B42" s="53">
        <f>SUM(B31:B41)</f>
        <v>11474</v>
      </c>
      <c r="C42" s="77"/>
      <c r="D42" s="53">
        <f>SUM(D31:D41)</f>
        <v>0</v>
      </c>
      <c r="E42" s="49"/>
      <c r="F42" s="53">
        <f>SUM(F31:F41)</f>
        <v>0</v>
      </c>
      <c r="G42" s="49"/>
      <c r="H42" s="53">
        <f>SUM(H31:H41)</f>
        <v>0</v>
      </c>
      <c r="I42" s="49"/>
      <c r="J42" s="53">
        <f>SUM(J31:J41)</f>
        <v>11474</v>
      </c>
      <c r="K42" s="67"/>
      <c r="L42" s="53">
        <f>SUM(L31:L41)</f>
        <v>5271</v>
      </c>
    </row>
    <row r="43" spans="1:12" s="78" customFormat="1" ht="17.25" customHeight="1" thickTop="1" x14ac:dyDescent="0.2">
      <c r="B43" s="79"/>
      <c r="C43" s="59"/>
      <c r="D43" s="80"/>
      <c r="E43" s="59"/>
      <c r="F43" s="59"/>
      <c r="G43" s="59"/>
      <c r="H43" s="59"/>
      <c r="I43" s="59"/>
      <c r="J43" s="59" t="str">
        <f>IF(B42+D42+F42+H42-J42=0," ","error")</f>
        <v xml:space="preserve"> </v>
      </c>
      <c r="K43" s="59"/>
      <c r="L43" s="59"/>
    </row>
    <row r="44" spans="1:12" ht="28" x14ac:dyDescent="0.3">
      <c r="A44" s="61" t="s">
        <v>93</v>
      </c>
      <c r="B44" s="62"/>
      <c r="C44" s="46"/>
      <c r="D44" s="46"/>
      <c r="E44" s="46"/>
      <c r="F44" s="46"/>
      <c r="G44" s="46"/>
      <c r="H44" s="46"/>
      <c r="I44" s="46"/>
      <c r="J44" s="46"/>
      <c r="K44" s="46"/>
    </row>
    <row r="45" spans="1:12" ht="20" customHeight="1" x14ac:dyDescent="0.3">
      <c r="A45" s="73" t="s">
        <v>94</v>
      </c>
      <c r="B45" s="48"/>
      <c r="C45" s="64"/>
      <c r="D45" s="48"/>
      <c r="E45" s="49"/>
      <c r="F45" s="48"/>
      <c r="G45" s="49"/>
      <c r="H45" s="48"/>
      <c r="I45" s="49"/>
      <c r="J45" s="50">
        <f>H45+D45+F45+B45</f>
        <v>0</v>
      </c>
      <c r="K45" s="67"/>
      <c r="L45" s="48"/>
    </row>
    <row r="46" spans="1:12" ht="20" customHeight="1" thickBot="1" x14ac:dyDescent="0.35">
      <c r="A46" s="73" t="s">
        <v>95</v>
      </c>
      <c r="B46" s="75"/>
      <c r="C46" s="64"/>
      <c r="D46" s="75"/>
      <c r="E46" s="49"/>
      <c r="F46" s="75"/>
      <c r="G46" s="49"/>
      <c r="H46" s="75"/>
      <c r="I46" s="49"/>
      <c r="J46" s="50">
        <f>H46+D46+F46+B46</f>
        <v>0</v>
      </c>
      <c r="K46" s="67"/>
      <c r="L46" s="75"/>
    </row>
    <row r="47" spans="1:12" ht="20" customHeight="1" thickTop="1" thickBot="1" x14ac:dyDescent="0.35">
      <c r="A47" s="76" t="s">
        <v>96</v>
      </c>
      <c r="B47" s="53">
        <f>SUM(B45:B46)</f>
        <v>0</v>
      </c>
      <c r="C47" s="77"/>
      <c r="D47" s="53">
        <f>SUM(D45:D46)</f>
        <v>0</v>
      </c>
      <c r="E47" s="49"/>
      <c r="F47" s="53">
        <f>SUM(F45:F46)</f>
        <v>0</v>
      </c>
      <c r="G47" s="49"/>
      <c r="H47" s="53">
        <f>SUM(H45:H46)</f>
        <v>0</v>
      </c>
      <c r="I47" s="49"/>
      <c r="J47" s="53">
        <f>SUM(J45:J46)</f>
        <v>0</v>
      </c>
      <c r="K47" s="67"/>
      <c r="L47" s="53">
        <f>SUM(L45:L46)</f>
        <v>0</v>
      </c>
    </row>
    <row r="48" spans="1:12" ht="13.5" customHeight="1" thickTop="1" thickBot="1" x14ac:dyDescent="0.35">
      <c r="B48" s="81"/>
      <c r="C48" s="60"/>
      <c r="D48" s="81"/>
      <c r="E48" s="60"/>
      <c r="F48" s="60"/>
      <c r="G48" s="60"/>
      <c r="H48" s="81"/>
      <c r="I48" s="60"/>
      <c r="J48" s="59" t="str">
        <f>IF(B47+D47+F47+H47-J47=0," ","error")</f>
        <v xml:space="preserve"> </v>
      </c>
      <c r="K48" s="60"/>
      <c r="L48" s="60"/>
    </row>
    <row r="49" spans="1:13" s="84" customFormat="1" ht="20" customHeight="1" thickTop="1" thickBot="1" x14ac:dyDescent="0.35">
      <c r="A49" s="82" t="s">
        <v>97</v>
      </c>
      <c r="B49" s="83">
        <f>+B47+B42</f>
        <v>11474</v>
      </c>
      <c r="C49" s="51"/>
      <c r="D49" s="83">
        <f>+D47+D42</f>
        <v>0</v>
      </c>
      <c r="E49" s="51"/>
      <c r="F49" s="83">
        <f>+F47+F42</f>
        <v>0</v>
      </c>
      <c r="G49" s="51"/>
      <c r="H49" s="83">
        <f>+H47+H42</f>
        <v>0</v>
      </c>
      <c r="I49" s="51"/>
      <c r="J49" s="83">
        <f>+J47+J42</f>
        <v>11474</v>
      </c>
      <c r="K49" s="51"/>
      <c r="L49" s="83">
        <f>+L47+L42</f>
        <v>5271</v>
      </c>
    </row>
    <row r="50" spans="1:13" ht="13.5" thickTop="1" thickBot="1" x14ac:dyDescent="0.3">
      <c r="B50" s="85"/>
      <c r="C50" s="86"/>
      <c r="D50" s="86"/>
      <c r="E50" s="86"/>
      <c r="F50" s="86"/>
      <c r="G50" s="86"/>
      <c r="H50" s="86"/>
      <c r="I50" s="86"/>
      <c r="J50" s="59" t="str">
        <f>IF(B49+D49+F49+H49-J49=0," ","error")</f>
        <v xml:space="preserve"> </v>
      </c>
      <c r="K50" s="87"/>
      <c r="L50" s="60"/>
    </row>
    <row r="51" spans="1:13" ht="20" customHeight="1" thickTop="1" thickBot="1" x14ac:dyDescent="0.35">
      <c r="A51" s="88" t="s">
        <v>98</v>
      </c>
      <c r="B51" s="89">
        <f>+B28-B49</f>
        <v>3334</v>
      </c>
      <c r="C51" s="90"/>
      <c r="D51" s="89">
        <f>+D28-D49</f>
        <v>0</v>
      </c>
      <c r="E51" s="90"/>
      <c r="F51" s="89">
        <f>+F28-F49</f>
        <v>0</v>
      </c>
      <c r="G51" s="90"/>
      <c r="H51" s="89">
        <f>+H28-H49</f>
        <v>0</v>
      </c>
      <c r="I51" s="90"/>
      <c r="J51" s="91">
        <f>IF((B51+D51+F51+H51)=(+J28-J49),H51+F51+D51+B51,"Cross Add Error")</f>
        <v>3334</v>
      </c>
      <c r="K51" s="92"/>
      <c r="L51" s="89">
        <f>+L28-L49</f>
        <v>35</v>
      </c>
      <c r="M51" s="93"/>
    </row>
    <row r="52" spans="1:13" ht="14.25" customHeight="1" thickBot="1" x14ac:dyDescent="0.35">
      <c r="A52" s="88"/>
      <c r="B52" s="94"/>
      <c r="C52" s="90"/>
      <c r="D52" s="94"/>
      <c r="E52" s="90"/>
      <c r="F52" s="94"/>
      <c r="G52" s="90"/>
      <c r="H52" s="94"/>
      <c r="I52" s="90"/>
      <c r="J52" s="94"/>
      <c r="K52" s="92"/>
      <c r="L52" s="94"/>
      <c r="M52" s="93"/>
    </row>
    <row r="53" spans="1:13" ht="19.5" customHeight="1" thickTop="1" thickBot="1" x14ac:dyDescent="0.35">
      <c r="A53" s="95" t="s">
        <v>99</v>
      </c>
      <c r="B53" s="96"/>
      <c r="C53" s="90"/>
      <c r="D53" s="96"/>
      <c r="E53" s="90"/>
      <c r="F53" s="96"/>
      <c r="G53" s="90"/>
      <c r="H53" s="96"/>
      <c r="I53" s="90"/>
      <c r="J53" s="97">
        <f>IF(H53+F53+D53+B53=0,0,"Transfer error")</f>
        <v>0</v>
      </c>
      <c r="K53" s="92"/>
      <c r="L53" s="96"/>
    </row>
    <row r="54" spans="1:13" ht="14.25" customHeight="1" thickTop="1" thickBot="1" x14ac:dyDescent="0.35">
      <c r="A54" s="98"/>
      <c r="B54" s="99"/>
      <c r="C54" s="90"/>
      <c r="D54" s="99"/>
      <c r="E54" s="90"/>
      <c r="F54" s="100"/>
      <c r="G54" s="90"/>
      <c r="H54" s="99"/>
      <c r="I54" s="90"/>
      <c r="J54" s="101"/>
      <c r="K54" s="92"/>
      <c r="L54" s="99"/>
    </row>
    <row r="55" spans="1:13" ht="29.25" customHeight="1" thickTop="1" thickBot="1" x14ac:dyDescent="0.35">
      <c r="A55" s="76" t="s">
        <v>100</v>
      </c>
      <c r="B55" s="102">
        <f>+B51+B53</f>
        <v>3334</v>
      </c>
      <c r="C55" s="90"/>
      <c r="D55" s="102">
        <f>+D51+D53</f>
        <v>0</v>
      </c>
      <c r="E55" s="90"/>
      <c r="F55" s="102">
        <f>+F51+F53</f>
        <v>0</v>
      </c>
      <c r="G55" s="90"/>
      <c r="H55" s="102">
        <f>+H51+H53</f>
        <v>0</v>
      </c>
      <c r="I55" s="90"/>
      <c r="J55" s="102">
        <f>+J51+J53</f>
        <v>3334</v>
      </c>
      <c r="K55" s="92"/>
      <c r="L55" s="102">
        <f>+L51+L53</f>
        <v>35</v>
      </c>
    </row>
    <row r="56" spans="1:13" ht="13" thickTop="1" x14ac:dyDescent="0.25">
      <c r="J56" s="59" t="str">
        <f>IF(B55+D55+H55-J55=0," ","error")</f>
        <v xml:space="preserve"> </v>
      </c>
    </row>
  </sheetData>
  <mergeCells count="13">
    <mergeCell ref="A1:A6"/>
    <mergeCell ref="B1:J1"/>
    <mergeCell ref="B2:J2"/>
    <mergeCell ref="B3:J3"/>
    <mergeCell ref="B4:B6"/>
    <mergeCell ref="C4:C6"/>
    <mergeCell ref="D4:F4"/>
    <mergeCell ref="G4:G6"/>
    <mergeCell ref="H4:J4"/>
    <mergeCell ref="D5:F5"/>
    <mergeCell ref="H5:J5"/>
    <mergeCell ref="D6:F6"/>
    <mergeCell ref="H6:J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2DC3-656C-4E57-B58B-709A982F33B8}">
  <dimension ref="A1:N56"/>
  <sheetViews>
    <sheetView workbookViewId="0">
      <selection activeCell="A24" sqref="A24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9" width="11" customWidth="1"/>
  </cols>
  <sheetData>
    <row r="1" spans="1:9" ht="13" customHeight="1" x14ac:dyDescent="0.3">
      <c r="A1" s="264" t="s">
        <v>177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4" t="s">
        <v>12</v>
      </c>
    </row>
    <row r="9" spans="1:9" x14ac:dyDescent="0.3">
      <c r="A9" s="167" t="s">
        <v>52</v>
      </c>
      <c r="B9" s="1">
        <v>567.92999999999995</v>
      </c>
      <c r="C9" s="1"/>
      <c r="D9" s="1" t="s">
        <v>138</v>
      </c>
      <c r="E9" s="1" t="s">
        <v>138</v>
      </c>
      <c r="G9" s="1" t="s">
        <v>138</v>
      </c>
      <c r="H9">
        <f>SUMIF(E9:E14,"Fundraising",B9:B14)</f>
        <v>567.92999999999995</v>
      </c>
      <c r="I9" s="4" t="s">
        <v>13</v>
      </c>
    </row>
    <row r="10" spans="1:9" x14ac:dyDescent="0.3">
      <c r="A10" s="167" t="s">
        <v>52</v>
      </c>
      <c r="B10" s="1">
        <v>72.37</v>
      </c>
      <c r="C10" s="1"/>
      <c r="D10" s="1" t="s">
        <v>138</v>
      </c>
      <c r="E10" t="s">
        <v>137</v>
      </c>
      <c r="G10" t="s">
        <v>137</v>
      </c>
      <c r="H10">
        <f>SUMIF(E9:E15,"Donation",B9:B15)</f>
        <v>72.37</v>
      </c>
      <c r="I10" t="s">
        <v>36</v>
      </c>
    </row>
    <row r="11" spans="1:9" x14ac:dyDescent="0.3">
      <c r="A11" s="167"/>
      <c r="B11" s="2"/>
      <c r="C11" s="1"/>
      <c r="E11" s="1"/>
      <c r="H11">
        <f>SUM(H9:H10)</f>
        <v>640.29999999999995</v>
      </c>
      <c r="I11" t="s">
        <v>37</v>
      </c>
    </row>
    <row r="12" spans="1:9" x14ac:dyDescent="0.3">
      <c r="A12" s="167"/>
      <c r="B12" s="2"/>
      <c r="C12" s="3"/>
      <c r="E12" s="1"/>
      <c r="I12" t="s">
        <v>38</v>
      </c>
    </row>
    <row r="13" spans="1:9" x14ac:dyDescent="0.3">
      <c r="A13" s="167"/>
      <c r="B13" s="2"/>
      <c r="C13" s="3"/>
      <c r="E13" s="1"/>
    </row>
    <row r="14" spans="1:9" x14ac:dyDescent="0.3">
      <c r="A14" s="167"/>
      <c r="B14" s="1"/>
      <c r="C14" s="1"/>
    </row>
    <row r="15" spans="1:9" x14ac:dyDescent="0.3">
      <c r="A15" s="167"/>
      <c r="B15" s="178"/>
    </row>
    <row r="16" spans="1:9" x14ac:dyDescent="0.3">
      <c r="A16" s="1" t="s">
        <v>30</v>
      </c>
      <c r="B16" s="20">
        <f>SUM(B9:B15)</f>
        <v>640.29999999999995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I21" s="4" t="s">
        <v>5</v>
      </c>
      <c r="M21" s="263" t="s">
        <v>144</v>
      </c>
      <c r="N21" s="263"/>
    </row>
    <row r="22" spans="1:14" x14ac:dyDescent="0.3">
      <c r="A22" t="s">
        <v>8</v>
      </c>
      <c r="B22">
        <v>18</v>
      </c>
      <c r="C22" s="1" t="s">
        <v>153</v>
      </c>
      <c r="D22" t="s">
        <v>52</v>
      </c>
      <c r="E22" t="s">
        <v>40</v>
      </c>
      <c r="I22" s="4" t="s">
        <v>6</v>
      </c>
      <c r="M22" s="4" t="s">
        <v>5</v>
      </c>
      <c r="N22">
        <f>SUMIF(A21:A30,"Mileage &amp; Travel",B21:B30)</f>
        <v>0</v>
      </c>
    </row>
    <row r="23" spans="1:14" x14ac:dyDescent="0.3">
      <c r="A23" t="s">
        <v>141</v>
      </c>
      <c r="B23">
        <v>26.48</v>
      </c>
      <c r="C23" s="1" t="s">
        <v>178</v>
      </c>
      <c r="D23" t="s">
        <v>50</v>
      </c>
      <c r="E23" t="s">
        <v>40</v>
      </c>
      <c r="I23" s="4" t="s">
        <v>7</v>
      </c>
      <c r="M23" t="s">
        <v>3</v>
      </c>
      <c r="N23">
        <f>SUMIF(A20:A29,"Stationary",B20:B29)</f>
        <v>26.48</v>
      </c>
    </row>
    <row r="24" spans="1:14" x14ac:dyDescent="0.3">
      <c r="A24" t="s">
        <v>136</v>
      </c>
      <c r="B24">
        <v>46.6</v>
      </c>
      <c r="C24" s="1" t="s">
        <v>179</v>
      </c>
      <c r="D24" t="s">
        <v>50</v>
      </c>
      <c r="E24" t="s">
        <v>40</v>
      </c>
      <c r="I24" s="4" t="s">
        <v>8</v>
      </c>
      <c r="M24" t="s">
        <v>6</v>
      </c>
      <c r="N24">
        <f>SUMIF(A20:A29,"Stock - comfort kits",B20:B29)</f>
        <v>1013.8</v>
      </c>
    </row>
    <row r="25" spans="1:14" x14ac:dyDescent="0.3">
      <c r="A25" t="s">
        <v>6</v>
      </c>
      <c r="B25">
        <v>1001.29</v>
      </c>
      <c r="C25" s="1" t="s">
        <v>180</v>
      </c>
      <c r="D25" t="s">
        <v>50</v>
      </c>
      <c r="E25" t="s">
        <v>40</v>
      </c>
      <c r="I25" s="4" t="s">
        <v>5</v>
      </c>
      <c r="M25" s="168" t="s">
        <v>4</v>
      </c>
      <c r="N25">
        <f>SUMIF(A21:A30,"Postage &amp; Packaging",B21:B30)</f>
        <v>0</v>
      </c>
    </row>
    <row r="26" spans="1:14" x14ac:dyDescent="0.3">
      <c r="A26" t="s">
        <v>6</v>
      </c>
      <c r="B26">
        <v>12.51</v>
      </c>
      <c r="C26" s="1" t="s">
        <v>181</v>
      </c>
      <c r="D26" t="s">
        <v>50</v>
      </c>
      <c r="E26" t="s">
        <v>40</v>
      </c>
      <c r="I26" s="4" t="s">
        <v>8</v>
      </c>
      <c r="M26" s="4" t="s">
        <v>8</v>
      </c>
      <c r="N26">
        <f>SUMIF(A21:A30,"Overheads",B21:B30)</f>
        <v>18</v>
      </c>
    </row>
    <row r="27" spans="1:14" x14ac:dyDescent="0.3">
      <c r="C27" s="1"/>
      <c r="I27" s="4" t="s">
        <v>10</v>
      </c>
      <c r="M27" t="s">
        <v>10</v>
      </c>
      <c r="N27">
        <f>SUMIF(A22:A31,"Events expenditure",B22:B31)</f>
        <v>0</v>
      </c>
    </row>
    <row r="28" spans="1:14" x14ac:dyDescent="0.3">
      <c r="A28" t="s">
        <v>41</v>
      </c>
      <c r="B28" s="20">
        <f>SUM(B21:B27)</f>
        <v>1104.8799999999999</v>
      </c>
      <c r="I28" t="s">
        <v>141</v>
      </c>
      <c r="M28" t="s">
        <v>136</v>
      </c>
      <c r="N28">
        <f>SUMIF(A23:A32,"Gratuities",B23:B32)</f>
        <v>46.6</v>
      </c>
    </row>
    <row r="29" spans="1:14" x14ac:dyDescent="0.3">
      <c r="I29" t="s">
        <v>136</v>
      </c>
    </row>
    <row r="30" spans="1:14" x14ac:dyDescent="0.3">
      <c r="A30" s="262" t="s">
        <v>43</v>
      </c>
      <c r="B30" s="262"/>
      <c r="C30" s="262"/>
      <c r="D30" s="262"/>
      <c r="E30" s="262"/>
      <c r="F30" s="262"/>
      <c r="I30" t="s">
        <v>4</v>
      </c>
      <c r="N30">
        <f>SUM(N22:N29)</f>
        <v>1104.8799999999999</v>
      </c>
    </row>
    <row r="31" spans="1:14" x14ac:dyDescent="0.3">
      <c r="A31" s="262"/>
      <c r="B31" s="262"/>
      <c r="C31" s="262"/>
      <c r="D31" s="262"/>
      <c r="E31" s="262"/>
      <c r="F31" s="262"/>
      <c r="I31" t="s">
        <v>34</v>
      </c>
    </row>
    <row r="32" spans="1:14" x14ac:dyDescent="0.3">
      <c r="A32" t="s">
        <v>44</v>
      </c>
      <c r="B32" t="s">
        <v>28</v>
      </c>
      <c r="C32" t="s">
        <v>16</v>
      </c>
      <c r="I32" t="s">
        <v>39</v>
      </c>
    </row>
    <row r="33" spans="1:9" x14ac:dyDescent="0.3">
      <c r="I33" t="s">
        <v>40</v>
      </c>
    </row>
    <row r="35" spans="1:9" x14ac:dyDescent="0.3">
      <c r="A35" t="s">
        <v>45</v>
      </c>
      <c r="B35">
        <f>SUM(B33:B34)</f>
        <v>0</v>
      </c>
    </row>
    <row r="37" spans="1:9" x14ac:dyDescent="0.3">
      <c r="A37" s="262" t="s">
        <v>42</v>
      </c>
      <c r="B37" s="262"/>
      <c r="C37" s="262"/>
      <c r="D37" s="262"/>
      <c r="E37" s="262"/>
      <c r="F37" s="262"/>
    </row>
    <row r="38" spans="1:9" x14ac:dyDescent="0.3">
      <c r="A38" s="262"/>
      <c r="B38" s="262"/>
      <c r="C38" s="262"/>
      <c r="D38" s="262"/>
      <c r="E38" s="262"/>
      <c r="F38" s="262"/>
    </row>
    <row r="39" spans="1:9" x14ac:dyDescent="0.3">
      <c r="A39" t="s">
        <v>44</v>
      </c>
      <c r="B39" t="s">
        <v>28</v>
      </c>
      <c r="C39" t="s">
        <v>16</v>
      </c>
    </row>
    <row r="42" spans="1:9" x14ac:dyDescent="0.3">
      <c r="A42" t="s">
        <v>46</v>
      </c>
      <c r="B42">
        <f>SUM(B40:B41)</f>
        <v>0</v>
      </c>
    </row>
    <row r="44" spans="1:9" x14ac:dyDescent="0.3">
      <c r="A44" s="262" t="s">
        <v>47</v>
      </c>
      <c r="B44" s="262"/>
      <c r="C44" s="262"/>
      <c r="D44" s="262"/>
      <c r="E44" s="262"/>
      <c r="F44" s="262"/>
    </row>
    <row r="45" spans="1:9" x14ac:dyDescent="0.3">
      <c r="A45" s="262"/>
      <c r="B45" s="262"/>
      <c r="C45" s="262"/>
      <c r="D45" s="262"/>
      <c r="E45" s="262"/>
      <c r="F45" s="262"/>
    </row>
    <row r="46" spans="1:9" x14ac:dyDescent="0.3">
      <c r="A46" s="21" t="s">
        <v>14</v>
      </c>
    </row>
    <row r="47" spans="1:9" x14ac:dyDescent="0.3">
      <c r="A47" t="s">
        <v>17</v>
      </c>
      <c r="B47" s="20">
        <f>B16</f>
        <v>640.29999999999995</v>
      </c>
    </row>
    <row r="48" spans="1:9" x14ac:dyDescent="0.3">
      <c r="A48" t="s">
        <v>42</v>
      </c>
      <c r="B48">
        <f>B42</f>
        <v>0</v>
      </c>
    </row>
    <row r="49" spans="1:2" x14ac:dyDescent="0.3">
      <c r="A49" t="s">
        <v>1</v>
      </c>
      <c r="B49" s="20">
        <f>SUM(B47:B48)</f>
        <v>640.29999999999995</v>
      </c>
    </row>
    <row r="51" spans="1:2" x14ac:dyDescent="0.3">
      <c r="A51" s="21" t="s">
        <v>15</v>
      </c>
    </row>
    <row r="52" spans="1:2" x14ac:dyDescent="0.3">
      <c r="A52" t="s">
        <v>31</v>
      </c>
      <c r="B52" s="20">
        <f>B28</f>
        <v>1104.8799999999999</v>
      </c>
    </row>
    <row r="53" spans="1:2" x14ac:dyDescent="0.3">
      <c r="A53" t="s">
        <v>43</v>
      </c>
      <c r="B53">
        <f>B35</f>
        <v>0</v>
      </c>
    </row>
    <row r="54" spans="1:2" x14ac:dyDescent="0.3">
      <c r="A54" t="s">
        <v>1</v>
      </c>
      <c r="B54" s="20">
        <f>SUM(B52:B53)</f>
        <v>1104.8799999999999</v>
      </c>
    </row>
    <row r="55" spans="1:2" x14ac:dyDescent="0.3">
      <c r="B55" s="20"/>
    </row>
    <row r="56" spans="1:2" x14ac:dyDescent="0.3">
      <c r="A56" s="22" t="s">
        <v>48</v>
      </c>
      <c r="B56" s="23">
        <f>SUM(B49-B54)</f>
        <v>-464.57999999999993</v>
      </c>
    </row>
  </sheetData>
  <mergeCells count="8">
    <mergeCell ref="A37:F38"/>
    <mergeCell ref="A44:F45"/>
    <mergeCell ref="G8:H8"/>
    <mergeCell ref="M21:N21"/>
    <mergeCell ref="A1:F4"/>
    <mergeCell ref="A5:F6"/>
    <mergeCell ref="A19:F20"/>
    <mergeCell ref="A30:F31"/>
  </mergeCells>
  <dataValidations count="7">
    <dataValidation type="list" allowBlank="1" showInputMessage="1" showErrorMessage="1" sqref="D11:D14" xr:uid="{1E7817B3-BC4F-4363-A08D-A6C024182E8A}">
      <formula1>$I$7:$I$17</formula1>
    </dataValidation>
    <dataValidation type="list" allowBlank="1" showInputMessage="1" showErrorMessage="1" sqref="E22 E27" xr:uid="{25F1BF98-A9DC-4074-A860-EE438AA9B5A4}">
      <formula1>$I$32:$I$35</formula1>
    </dataValidation>
    <dataValidation type="list" allowBlank="1" showInputMessage="1" showErrorMessage="1" sqref="F22:F23" xr:uid="{F6351242-EF99-4B55-BAE8-10F48B854136}">
      <formula1>$I$7:$I$15</formula1>
    </dataValidation>
    <dataValidation type="list" allowBlank="1" showInputMessage="1" showErrorMessage="1" sqref="A22 A27" xr:uid="{44791442-CD5F-4FAF-9266-476869C08F6A}">
      <formula1>$I$21:$I$31</formula1>
    </dataValidation>
    <dataValidation type="list" allowBlank="1" showInputMessage="1" showErrorMessage="1" sqref="H23 A23:A26 I30 M27" xr:uid="{EB4AC624-7644-43FD-88F5-3262D6E1074C}">
      <formula1>$I$21:$I$37</formula1>
    </dataValidation>
    <dataValidation type="list" allowBlank="1" showInputMessage="1" showErrorMessage="1" sqref="M28" xr:uid="{D90DB139-CF46-4956-AA8D-614D9DEAC443}">
      <formula1>$I$23:$I$39</formula1>
    </dataValidation>
    <dataValidation type="list" allowBlank="1" showInputMessage="1" showErrorMessage="1" sqref="E23:E26" xr:uid="{52AAB914-B71E-4311-9F9F-21CC2AD37B0B}">
      <formula1>$I$34:$I$37</formula1>
    </dataValidation>
  </dataValidations>
  <pageMargins left="0.75" right="0.75" top="1" bottom="1" header="0.3" footer="0.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8AA74-1141-44CD-84F3-D737FEAA2A16}">
  <dimension ref="A1:N57"/>
  <sheetViews>
    <sheetView workbookViewId="0">
      <selection activeCell="D12" sqref="D12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9" width="11" customWidth="1"/>
  </cols>
  <sheetData>
    <row r="1" spans="1:9" ht="13" customHeight="1" x14ac:dyDescent="0.3">
      <c r="A1" s="264" t="s">
        <v>170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4" t="s">
        <v>12</v>
      </c>
    </row>
    <row r="9" spans="1:9" x14ac:dyDescent="0.3">
      <c r="A9" s="167" t="s">
        <v>52</v>
      </c>
      <c r="B9" s="1">
        <v>1496.05</v>
      </c>
      <c r="C9" s="1"/>
      <c r="D9" s="1"/>
      <c r="E9" s="1" t="s">
        <v>138</v>
      </c>
      <c r="G9" s="1" t="s">
        <v>138</v>
      </c>
      <c r="H9">
        <f>SUMIF(E9:E14,"Fundraising",B9:B14)</f>
        <v>3472.55</v>
      </c>
      <c r="I9" s="4" t="s">
        <v>13</v>
      </c>
    </row>
    <row r="10" spans="1:9" x14ac:dyDescent="0.3">
      <c r="A10" s="167" t="s">
        <v>52</v>
      </c>
      <c r="B10" s="1">
        <v>1636.76</v>
      </c>
      <c r="C10" s="1"/>
      <c r="D10" s="1"/>
      <c r="E10" s="1" t="s">
        <v>138</v>
      </c>
      <c r="G10" t="s">
        <v>137</v>
      </c>
      <c r="H10">
        <f>SUMIF(E9:E14,"Donation",B9:B14)</f>
        <v>40</v>
      </c>
      <c r="I10" t="s">
        <v>36</v>
      </c>
    </row>
    <row r="11" spans="1:9" x14ac:dyDescent="0.3">
      <c r="A11" s="1" t="s">
        <v>171</v>
      </c>
      <c r="B11" s="2">
        <v>40</v>
      </c>
      <c r="C11" s="1"/>
      <c r="E11" t="s">
        <v>137</v>
      </c>
      <c r="I11" t="s">
        <v>37</v>
      </c>
    </row>
    <row r="12" spans="1:9" x14ac:dyDescent="0.3">
      <c r="A12" s="167" t="s">
        <v>52</v>
      </c>
      <c r="B12" s="1">
        <v>233.63</v>
      </c>
      <c r="C12" s="1"/>
      <c r="D12" s="1"/>
      <c r="E12" s="1" t="s">
        <v>138</v>
      </c>
      <c r="I12" t="s">
        <v>38</v>
      </c>
    </row>
    <row r="13" spans="1:9" x14ac:dyDescent="0.3">
      <c r="A13" s="167" t="s">
        <v>52</v>
      </c>
      <c r="B13" s="1">
        <v>106.11</v>
      </c>
      <c r="C13" s="3"/>
      <c r="D13" s="1"/>
      <c r="E13" s="1" t="s">
        <v>138</v>
      </c>
    </row>
    <row r="14" spans="1:9" x14ac:dyDescent="0.3">
      <c r="A14" s="1"/>
      <c r="B14" s="1"/>
      <c r="C14" s="1"/>
    </row>
    <row r="15" spans="1:9" x14ac:dyDescent="0.3">
      <c r="A15" s="1"/>
      <c r="B15" s="20"/>
    </row>
    <row r="16" spans="1:9" x14ac:dyDescent="0.3">
      <c r="A16" s="1" t="s">
        <v>30</v>
      </c>
      <c r="B16" s="20">
        <f>SUM(B9:B15)</f>
        <v>3512.55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I21" s="4" t="s">
        <v>5</v>
      </c>
      <c r="M21" s="263" t="s">
        <v>144</v>
      </c>
      <c r="N21" s="263"/>
    </row>
    <row r="22" spans="1:14" x14ac:dyDescent="0.3">
      <c r="A22" t="s">
        <v>8</v>
      </c>
      <c r="B22">
        <v>18</v>
      </c>
      <c r="C22" s="1" t="s">
        <v>51</v>
      </c>
      <c r="D22" t="s">
        <v>52</v>
      </c>
      <c r="E22" t="s">
        <v>40</v>
      </c>
      <c r="I22" s="4" t="s">
        <v>6</v>
      </c>
      <c r="M22" s="4" t="s">
        <v>5</v>
      </c>
      <c r="N22">
        <f>SUMIF(A21:A29,"Mileage &amp; Travel",B21:B29)</f>
        <v>0</v>
      </c>
    </row>
    <row r="23" spans="1:14" x14ac:dyDescent="0.3">
      <c r="A23" t="s">
        <v>4</v>
      </c>
      <c r="B23">
        <v>80.180000000000007</v>
      </c>
      <c r="C23" s="1" t="s">
        <v>172</v>
      </c>
      <c r="D23" t="s">
        <v>50</v>
      </c>
      <c r="E23" t="s">
        <v>40</v>
      </c>
      <c r="F23" s="4"/>
      <c r="I23" s="4" t="s">
        <v>7</v>
      </c>
      <c r="M23" t="s">
        <v>3</v>
      </c>
      <c r="N23">
        <f>SUMIF(A20:A28,"Stationary",B20:B28)</f>
        <v>0</v>
      </c>
    </row>
    <row r="24" spans="1:14" x14ac:dyDescent="0.3">
      <c r="A24" t="s">
        <v>6</v>
      </c>
      <c r="B24">
        <v>59.76</v>
      </c>
      <c r="C24" s="1" t="s">
        <v>173</v>
      </c>
      <c r="D24" t="s">
        <v>50</v>
      </c>
      <c r="E24" t="s">
        <v>40</v>
      </c>
      <c r="I24" s="4" t="s">
        <v>8</v>
      </c>
      <c r="M24" t="s">
        <v>6</v>
      </c>
      <c r="N24">
        <f>SUMIF(A21:A29,"Stock - comfort kits",B21:B29)</f>
        <v>1092.3899999999999</v>
      </c>
    </row>
    <row r="25" spans="1:14" x14ac:dyDescent="0.3">
      <c r="A25" t="s">
        <v>8</v>
      </c>
      <c r="B25">
        <v>127.15</v>
      </c>
      <c r="C25" s="1" t="s">
        <v>174</v>
      </c>
      <c r="D25" t="s">
        <v>150</v>
      </c>
      <c r="E25" t="s">
        <v>40</v>
      </c>
      <c r="I25" s="4" t="s">
        <v>5</v>
      </c>
      <c r="M25" s="4" t="s">
        <v>8</v>
      </c>
      <c r="N25">
        <f>SUMIF(A21:A29,"Overheads",B21:B29)</f>
        <v>145.15</v>
      </c>
    </row>
    <row r="26" spans="1:14" x14ac:dyDescent="0.3">
      <c r="A26" t="s">
        <v>6</v>
      </c>
      <c r="B26">
        <v>342.89</v>
      </c>
      <c r="C26" s="1" t="s">
        <v>175</v>
      </c>
      <c r="D26" t="s">
        <v>50</v>
      </c>
      <c r="E26" t="s">
        <v>40</v>
      </c>
      <c r="I26" s="4" t="s">
        <v>7</v>
      </c>
      <c r="M26" t="s">
        <v>4</v>
      </c>
      <c r="N26">
        <f>SUMIF(A22:A30,"Postage &amp; Packaging",B22:B30)</f>
        <v>80.180000000000007</v>
      </c>
    </row>
    <row r="27" spans="1:14" x14ac:dyDescent="0.3">
      <c r="A27" t="s">
        <v>6</v>
      </c>
      <c r="B27">
        <v>689.74</v>
      </c>
      <c r="C27" s="1" t="s">
        <v>176</v>
      </c>
      <c r="D27" s="168"/>
      <c r="I27" s="4" t="s">
        <v>8</v>
      </c>
      <c r="M27" t="s">
        <v>135</v>
      </c>
      <c r="N27">
        <f>SUMIF(A23:A31,"Gratuity",B23:B31)</f>
        <v>0</v>
      </c>
    </row>
    <row r="28" spans="1:14" x14ac:dyDescent="0.3">
      <c r="C28" s="1"/>
      <c r="I28" s="4" t="s">
        <v>10</v>
      </c>
    </row>
    <row r="29" spans="1:14" x14ac:dyDescent="0.3">
      <c r="A29" t="s">
        <v>41</v>
      </c>
      <c r="B29" s="20">
        <f>SUM(B22:B28)</f>
        <v>1317.72</v>
      </c>
      <c r="I29" t="s">
        <v>3</v>
      </c>
      <c r="N29">
        <f>SUM(N22:N28)</f>
        <v>1317.72</v>
      </c>
    </row>
    <row r="30" spans="1:14" x14ac:dyDescent="0.3">
      <c r="I30" t="s">
        <v>4</v>
      </c>
    </row>
    <row r="31" spans="1:14" x14ac:dyDescent="0.3">
      <c r="A31" s="262" t="s">
        <v>43</v>
      </c>
      <c r="B31" s="262"/>
      <c r="C31" s="262"/>
      <c r="D31" s="262"/>
      <c r="E31" s="262"/>
      <c r="F31" s="262"/>
    </row>
    <row r="32" spans="1:14" x14ac:dyDescent="0.3">
      <c r="A32" s="262"/>
      <c r="B32" s="262"/>
      <c r="C32" s="262"/>
      <c r="D32" s="262"/>
      <c r="E32" s="262"/>
      <c r="F32" s="262"/>
      <c r="I32" t="s">
        <v>34</v>
      </c>
    </row>
    <row r="33" spans="1:9" x14ac:dyDescent="0.3">
      <c r="A33" t="s">
        <v>44</v>
      </c>
      <c r="B33" t="s">
        <v>28</v>
      </c>
      <c r="C33" t="s">
        <v>16</v>
      </c>
      <c r="I33" t="s">
        <v>39</v>
      </c>
    </row>
    <row r="34" spans="1:9" x14ac:dyDescent="0.3">
      <c r="I34" t="s">
        <v>40</v>
      </c>
    </row>
    <row r="36" spans="1:9" x14ac:dyDescent="0.3">
      <c r="A36" t="s">
        <v>45</v>
      </c>
      <c r="B36">
        <f>SUM(B34:B35)</f>
        <v>0</v>
      </c>
    </row>
    <row r="38" spans="1:9" x14ac:dyDescent="0.3">
      <c r="A38" s="262" t="s">
        <v>42</v>
      </c>
      <c r="B38" s="262"/>
      <c r="C38" s="262"/>
      <c r="D38" s="262"/>
      <c r="E38" s="262"/>
      <c r="F38" s="262"/>
    </row>
    <row r="39" spans="1:9" x14ac:dyDescent="0.3">
      <c r="A39" s="262"/>
      <c r="B39" s="262"/>
      <c r="C39" s="262"/>
      <c r="D39" s="262"/>
      <c r="E39" s="262"/>
      <c r="F39" s="262"/>
    </row>
    <row r="40" spans="1:9" x14ac:dyDescent="0.3">
      <c r="A40" t="s">
        <v>44</v>
      </c>
      <c r="B40" t="s">
        <v>28</v>
      </c>
      <c r="C40" t="s">
        <v>16</v>
      </c>
    </row>
    <row r="43" spans="1:9" x14ac:dyDescent="0.3">
      <c r="A43" t="s">
        <v>46</v>
      </c>
      <c r="B43">
        <f>SUM(B41:B42)</f>
        <v>0</v>
      </c>
    </row>
    <row r="45" spans="1:9" x14ac:dyDescent="0.3">
      <c r="A45" s="262" t="s">
        <v>47</v>
      </c>
      <c r="B45" s="262"/>
      <c r="C45" s="262"/>
      <c r="D45" s="262"/>
      <c r="E45" s="262"/>
      <c r="F45" s="262"/>
    </row>
    <row r="46" spans="1:9" x14ac:dyDescent="0.3">
      <c r="A46" s="262"/>
      <c r="B46" s="262"/>
      <c r="C46" s="262"/>
      <c r="D46" s="262"/>
      <c r="E46" s="262"/>
      <c r="F46" s="262"/>
    </row>
    <row r="47" spans="1:9" x14ac:dyDescent="0.3">
      <c r="A47" s="21" t="s">
        <v>14</v>
      </c>
    </row>
    <row r="48" spans="1:9" x14ac:dyDescent="0.3">
      <c r="A48" t="s">
        <v>17</v>
      </c>
      <c r="B48" s="20">
        <f>B16</f>
        <v>3512.55</v>
      </c>
    </row>
    <row r="49" spans="1:2" x14ac:dyDescent="0.3">
      <c r="A49" t="s">
        <v>42</v>
      </c>
      <c r="B49">
        <f>B43</f>
        <v>0</v>
      </c>
    </row>
    <row r="50" spans="1:2" x14ac:dyDescent="0.3">
      <c r="A50" t="s">
        <v>1</v>
      </c>
      <c r="B50" s="20">
        <f>SUM(B48:B49)</f>
        <v>3512.55</v>
      </c>
    </row>
    <row r="52" spans="1:2" x14ac:dyDescent="0.3">
      <c r="A52" s="21" t="s">
        <v>15</v>
      </c>
    </row>
    <row r="53" spans="1:2" x14ac:dyDescent="0.3">
      <c r="A53" t="s">
        <v>31</v>
      </c>
      <c r="B53" s="20">
        <f>B29</f>
        <v>1317.72</v>
      </c>
    </row>
    <row r="54" spans="1:2" x14ac:dyDescent="0.3">
      <c r="A54" t="s">
        <v>43</v>
      </c>
      <c r="B54">
        <f>B36</f>
        <v>0</v>
      </c>
    </row>
    <row r="55" spans="1:2" x14ac:dyDescent="0.3">
      <c r="A55" t="s">
        <v>1</v>
      </c>
      <c r="B55" s="20">
        <f>SUM(B53:B54)</f>
        <v>1317.72</v>
      </c>
    </row>
    <row r="56" spans="1:2" x14ac:dyDescent="0.3">
      <c r="B56" s="20"/>
    </row>
    <row r="57" spans="1:2" x14ac:dyDescent="0.3">
      <c r="A57" s="22" t="s">
        <v>48</v>
      </c>
      <c r="B57" s="23">
        <f>SUM(B50-B55)</f>
        <v>2194.83</v>
      </c>
    </row>
  </sheetData>
  <mergeCells count="8">
    <mergeCell ref="A38:F39"/>
    <mergeCell ref="A45:F46"/>
    <mergeCell ref="G8:H8"/>
    <mergeCell ref="M21:N21"/>
    <mergeCell ref="A1:F4"/>
    <mergeCell ref="A5:F6"/>
    <mergeCell ref="A19:F20"/>
    <mergeCell ref="A31:F32"/>
  </mergeCells>
  <dataValidations count="8">
    <dataValidation type="list" allowBlank="1" showInputMessage="1" showErrorMessage="1" sqref="D14" xr:uid="{96DE0238-7D93-4458-A83E-81D5A6F4F7D1}">
      <formula1>$I$7:$I$17</formula1>
    </dataValidation>
    <dataValidation type="list" allowBlank="1" showInputMessage="1" showErrorMessage="1" sqref="E27:E28" xr:uid="{2B7B3630-1138-4F29-B99A-AE5B1840B943}">
      <formula1>$I$33:$I$36</formula1>
    </dataValidation>
    <dataValidation type="list" allowBlank="1" showInputMessage="1" showErrorMessage="1" sqref="F22" xr:uid="{9A2F3881-3E3D-44F8-9315-2FAE23C246FC}">
      <formula1>$I$7:$I$15</formula1>
    </dataValidation>
    <dataValidation type="list" allowBlank="1" showInputMessage="1" showErrorMessage="1" sqref="E22:E26" xr:uid="{9C82E7AD-5AA2-4C81-9E20-EB0818760864}">
      <formula1>$I$34:$I$37</formula1>
    </dataValidation>
    <dataValidation type="list" allowBlank="1" showInputMessage="1" showErrorMessage="1" sqref="H21 A27:A28" xr:uid="{F6126027-734C-40BC-A691-3BA808B5AF62}">
      <formula1>$I$21:$I$32</formula1>
    </dataValidation>
    <dataValidation type="list" allowBlank="1" showInputMessage="1" showErrorMessage="1" sqref="A22" xr:uid="{FEB30D73-77B1-4FE1-8C35-6A489C6CF441}">
      <formula1>$I$21:$I$33</formula1>
    </dataValidation>
    <dataValidation type="list" allowBlank="1" showInputMessage="1" showErrorMessage="1" sqref="H24 I30 A23:A26" xr:uid="{F46CBBBA-0F91-493B-96C0-D1E3D33CD62F}">
      <formula1>$I$21:$I$37</formula1>
    </dataValidation>
    <dataValidation type="list" allowBlank="1" showInputMessage="1" showErrorMessage="1" sqref="M27" xr:uid="{C1D34C0B-4B15-4F4C-B943-D92122B348DA}">
      <formula1>$I$23:$I$39</formula1>
    </dataValidation>
  </dataValidations>
  <pageMargins left="0.75" right="0.75" top="1" bottom="1" header="0.3" footer="0.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C57D-C417-44F5-A926-A90C7313624C}">
  <dimension ref="A1:N60"/>
  <sheetViews>
    <sheetView workbookViewId="0">
      <selection activeCell="A25" sqref="A25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9" width="11" customWidth="1"/>
  </cols>
  <sheetData>
    <row r="1" spans="1:10" ht="13" customHeight="1" x14ac:dyDescent="0.3">
      <c r="A1" s="264" t="s">
        <v>168</v>
      </c>
      <c r="B1" s="265"/>
      <c r="C1" s="265"/>
      <c r="D1" s="265"/>
      <c r="E1" s="265"/>
      <c r="F1" s="265"/>
    </row>
    <row r="2" spans="1:10" x14ac:dyDescent="0.3">
      <c r="A2" s="265"/>
      <c r="B2" s="265"/>
      <c r="C2" s="265"/>
      <c r="D2" s="265"/>
      <c r="E2" s="265"/>
      <c r="F2" s="265"/>
    </row>
    <row r="3" spans="1:10" x14ac:dyDescent="0.3">
      <c r="A3" s="265"/>
      <c r="B3" s="265"/>
      <c r="C3" s="265"/>
      <c r="D3" s="265"/>
      <c r="E3" s="265"/>
      <c r="F3" s="265"/>
    </row>
    <row r="4" spans="1:10" x14ac:dyDescent="0.3">
      <c r="A4" s="265"/>
      <c r="B4" s="265"/>
      <c r="C4" s="265"/>
      <c r="D4" s="265"/>
      <c r="E4" s="265"/>
      <c r="F4" s="265"/>
    </row>
    <row r="5" spans="1:10" x14ac:dyDescent="0.3">
      <c r="A5" s="262" t="s">
        <v>29</v>
      </c>
      <c r="B5" s="262"/>
      <c r="C5" s="262"/>
      <c r="D5" s="262"/>
      <c r="E5" s="262"/>
      <c r="F5" s="262"/>
    </row>
    <row r="6" spans="1:10" x14ac:dyDescent="0.3">
      <c r="A6" s="262"/>
      <c r="B6" s="262"/>
      <c r="C6" s="262"/>
      <c r="D6" s="262"/>
      <c r="E6" s="262"/>
      <c r="F6" s="262"/>
      <c r="I6" t="s">
        <v>35</v>
      </c>
    </row>
    <row r="7" spans="1:10" x14ac:dyDescent="0.3">
      <c r="G7" s="263" t="s">
        <v>143</v>
      </c>
      <c r="H7" s="263"/>
      <c r="I7" s="4" t="s">
        <v>11</v>
      </c>
    </row>
    <row r="8" spans="1:10" x14ac:dyDescent="0.3">
      <c r="A8" t="s">
        <v>33</v>
      </c>
      <c r="B8" t="s">
        <v>28</v>
      </c>
      <c r="C8" t="s">
        <v>16</v>
      </c>
      <c r="D8" t="s">
        <v>35</v>
      </c>
      <c r="G8" s="1" t="s">
        <v>138</v>
      </c>
      <c r="H8">
        <f>SUMIF(E8:E13,"Fundraising",B8:B13)</f>
        <v>5578.45</v>
      </c>
      <c r="I8" s="4" t="s">
        <v>12</v>
      </c>
    </row>
    <row r="9" spans="1:10" x14ac:dyDescent="0.3">
      <c r="A9" s="167" t="s">
        <v>52</v>
      </c>
      <c r="B9" s="1">
        <v>182.16</v>
      </c>
      <c r="C9" s="167"/>
      <c r="D9" t="s">
        <v>37</v>
      </c>
      <c r="E9" s="1" t="s">
        <v>138</v>
      </c>
      <c r="G9" t="s">
        <v>137</v>
      </c>
      <c r="H9">
        <f>SUMIF(E8:E13,"Donation",B8:B13)</f>
        <v>0</v>
      </c>
      <c r="I9" s="4" t="s">
        <v>13</v>
      </c>
      <c r="J9" s="1" t="s">
        <v>138</v>
      </c>
    </row>
    <row r="10" spans="1:10" x14ac:dyDescent="0.3">
      <c r="A10" s="167" t="s">
        <v>52</v>
      </c>
      <c r="B10" s="1">
        <v>441.5</v>
      </c>
      <c r="C10" s="1"/>
      <c r="D10" t="s">
        <v>37</v>
      </c>
      <c r="E10" s="1" t="s">
        <v>138</v>
      </c>
      <c r="I10" t="s">
        <v>36</v>
      </c>
      <c r="J10" t="s">
        <v>137</v>
      </c>
    </row>
    <row r="11" spans="1:10" x14ac:dyDescent="0.3">
      <c r="A11" s="167" t="s">
        <v>52</v>
      </c>
      <c r="B11" s="2">
        <v>409.29</v>
      </c>
      <c r="C11" s="1"/>
      <c r="D11" t="s">
        <v>37</v>
      </c>
      <c r="E11" s="1" t="s">
        <v>138</v>
      </c>
      <c r="I11" t="s">
        <v>37</v>
      </c>
    </row>
    <row r="12" spans="1:10" x14ac:dyDescent="0.3">
      <c r="A12" s="167" t="s">
        <v>52</v>
      </c>
      <c r="B12" s="2">
        <v>4545.5</v>
      </c>
      <c r="C12" s="3"/>
      <c r="D12" t="s">
        <v>37</v>
      </c>
      <c r="E12" s="1" t="s">
        <v>138</v>
      </c>
      <c r="I12" t="s">
        <v>38</v>
      </c>
    </row>
    <row r="13" spans="1:10" x14ac:dyDescent="0.3">
      <c r="A13" s="1"/>
      <c r="B13" s="2"/>
      <c r="C13" s="1"/>
    </row>
    <row r="14" spans="1:10" x14ac:dyDescent="0.3">
      <c r="A14" s="1"/>
      <c r="B14" s="1"/>
      <c r="C14" s="1"/>
    </row>
    <row r="15" spans="1:10" x14ac:dyDescent="0.3">
      <c r="A15" s="1"/>
      <c r="B15" s="1"/>
      <c r="C15" s="1"/>
    </row>
    <row r="16" spans="1:10" x14ac:dyDescent="0.3">
      <c r="A16" s="1"/>
      <c r="B16" s="1"/>
      <c r="C16" s="1"/>
    </row>
    <row r="17" spans="1:14" x14ac:dyDescent="0.3">
      <c r="A17" s="1" t="s">
        <v>30</v>
      </c>
      <c r="B17" s="20">
        <f>SUM(B9:B16)</f>
        <v>5578.45</v>
      </c>
    </row>
    <row r="20" spans="1:14" x14ac:dyDescent="0.3">
      <c r="A20" s="262" t="s">
        <v>31</v>
      </c>
      <c r="B20" s="262"/>
      <c r="C20" s="262"/>
      <c r="D20" s="262"/>
      <c r="E20" s="262"/>
      <c r="F20" s="262"/>
    </row>
    <row r="21" spans="1:14" x14ac:dyDescent="0.3">
      <c r="A21" s="262"/>
      <c r="B21" s="262"/>
      <c r="C21" s="262"/>
      <c r="D21" s="262"/>
      <c r="E21" s="262"/>
      <c r="F21" s="262"/>
      <c r="I21" t="s">
        <v>0</v>
      </c>
    </row>
    <row r="22" spans="1:14" x14ac:dyDescent="0.3">
      <c r="A22" t="s">
        <v>32</v>
      </c>
      <c r="B22" t="s">
        <v>28</v>
      </c>
      <c r="C22" t="s">
        <v>16</v>
      </c>
      <c r="D22" t="s">
        <v>49</v>
      </c>
      <c r="E22" t="s">
        <v>34</v>
      </c>
      <c r="F22" t="s">
        <v>35</v>
      </c>
      <c r="I22" s="4" t="s">
        <v>5</v>
      </c>
      <c r="M22" s="263" t="s">
        <v>144</v>
      </c>
      <c r="N22" s="263"/>
    </row>
    <row r="23" spans="1:14" x14ac:dyDescent="0.3">
      <c r="A23" t="s">
        <v>8</v>
      </c>
      <c r="B23">
        <v>18</v>
      </c>
      <c r="C23" s="1" t="s">
        <v>51</v>
      </c>
      <c r="D23" t="s">
        <v>52</v>
      </c>
      <c r="E23" t="s">
        <v>40</v>
      </c>
      <c r="I23" s="4" t="s">
        <v>6</v>
      </c>
      <c r="M23" s="4" t="s">
        <v>5</v>
      </c>
      <c r="N23">
        <f>SUMIF(A22:A30,"Mileage &amp; Travel",B22:B30)</f>
        <v>0</v>
      </c>
    </row>
    <row r="24" spans="1:14" x14ac:dyDescent="0.3">
      <c r="A24" t="s">
        <v>4</v>
      </c>
      <c r="B24">
        <v>43.24</v>
      </c>
      <c r="C24" s="1" t="s">
        <v>169</v>
      </c>
      <c r="D24" t="s">
        <v>50</v>
      </c>
      <c r="E24" t="s">
        <v>40</v>
      </c>
      <c r="F24" s="4"/>
      <c r="I24" s="4" t="s">
        <v>7</v>
      </c>
      <c r="M24" t="s">
        <v>3</v>
      </c>
      <c r="N24">
        <f>SUMIF(A21:A29,"Stationary",B21:B29)</f>
        <v>0</v>
      </c>
    </row>
    <row r="25" spans="1:14" x14ac:dyDescent="0.3">
      <c r="A25" t="s">
        <v>4</v>
      </c>
      <c r="B25">
        <v>48.7</v>
      </c>
      <c r="C25" s="1" t="s">
        <v>149</v>
      </c>
      <c r="D25" t="s">
        <v>50</v>
      </c>
      <c r="E25" t="s">
        <v>40</v>
      </c>
      <c r="I25" s="4" t="s">
        <v>8</v>
      </c>
      <c r="M25" t="s">
        <v>6</v>
      </c>
      <c r="N25">
        <f>SUMIF(A22:A30,"Stock - comfort kits",B22:B30)</f>
        <v>0</v>
      </c>
    </row>
    <row r="26" spans="1:14" x14ac:dyDescent="0.3">
      <c r="C26" s="1"/>
      <c r="D26" t="s">
        <v>50</v>
      </c>
      <c r="E26" t="s">
        <v>40</v>
      </c>
      <c r="I26" s="4" t="s">
        <v>5</v>
      </c>
      <c r="M26" s="4" t="s">
        <v>8</v>
      </c>
      <c r="N26">
        <f>SUMIF(A22:A30,"Overheads",B22:B30)</f>
        <v>18</v>
      </c>
    </row>
    <row r="27" spans="1:14" x14ac:dyDescent="0.3">
      <c r="C27" s="1"/>
      <c r="D27" t="s">
        <v>150</v>
      </c>
      <c r="E27" t="s">
        <v>40</v>
      </c>
      <c r="F27" t="s">
        <v>151</v>
      </c>
      <c r="I27" s="4" t="s">
        <v>8</v>
      </c>
      <c r="M27" t="s">
        <v>152</v>
      </c>
      <c r="N27">
        <f>SUMIF(A23:A31,"Postage &amp; Packaging",B23:B31)</f>
        <v>91.94</v>
      </c>
    </row>
    <row r="28" spans="1:14" x14ac:dyDescent="0.3">
      <c r="C28" s="1"/>
      <c r="D28" t="s">
        <v>50</v>
      </c>
      <c r="E28" t="s">
        <v>40</v>
      </c>
      <c r="I28" s="4" t="s">
        <v>10</v>
      </c>
      <c r="M28" t="s">
        <v>10</v>
      </c>
      <c r="N28">
        <f ca="1">SUMIF(A24:A32,"Events expenditure",B24:B31)</f>
        <v>0</v>
      </c>
    </row>
    <row r="29" spans="1:14" x14ac:dyDescent="0.3">
      <c r="C29" s="1"/>
      <c r="D29" t="s">
        <v>50</v>
      </c>
      <c r="E29" t="s">
        <v>40</v>
      </c>
      <c r="I29" t="s">
        <v>141</v>
      </c>
      <c r="M29" t="s">
        <v>136</v>
      </c>
      <c r="N29">
        <f>SUMIF(A23:A31,"Gratuities",B23:B31)</f>
        <v>0</v>
      </c>
    </row>
    <row r="30" spans="1:14" x14ac:dyDescent="0.3">
      <c r="C30" s="1"/>
      <c r="D30" t="s">
        <v>50</v>
      </c>
      <c r="E30" t="s">
        <v>40</v>
      </c>
      <c r="I30" t="s">
        <v>136</v>
      </c>
      <c r="N30">
        <f ca="1">SUM(N23:N29)</f>
        <v>109.94</v>
      </c>
    </row>
    <row r="31" spans="1:14" x14ac:dyDescent="0.3">
      <c r="C31" s="1"/>
      <c r="I31" t="s">
        <v>4</v>
      </c>
    </row>
    <row r="32" spans="1:14" x14ac:dyDescent="0.3">
      <c r="A32" t="s">
        <v>41</v>
      </c>
      <c r="B32" s="20">
        <f>SUM(B23:B31)</f>
        <v>109.94</v>
      </c>
    </row>
    <row r="34" spans="1:9" x14ac:dyDescent="0.3">
      <c r="A34" s="262" t="s">
        <v>43</v>
      </c>
      <c r="B34" s="262"/>
      <c r="C34" s="262"/>
      <c r="D34" s="262"/>
      <c r="E34" s="262"/>
      <c r="F34" s="262"/>
    </row>
    <row r="35" spans="1:9" x14ac:dyDescent="0.3">
      <c r="A35" s="262"/>
      <c r="B35" s="262"/>
      <c r="C35" s="262"/>
      <c r="D35" s="262"/>
      <c r="E35" s="262"/>
      <c r="F35" s="262"/>
      <c r="I35" t="s">
        <v>34</v>
      </c>
    </row>
    <row r="36" spans="1:9" x14ac:dyDescent="0.3">
      <c r="A36" t="s">
        <v>44</v>
      </c>
      <c r="B36" t="s">
        <v>28</v>
      </c>
      <c r="C36" t="s">
        <v>16</v>
      </c>
      <c r="I36" t="s">
        <v>39</v>
      </c>
    </row>
    <row r="37" spans="1:9" x14ac:dyDescent="0.3">
      <c r="I37" t="s">
        <v>40</v>
      </c>
    </row>
    <row r="39" spans="1:9" x14ac:dyDescent="0.3">
      <c r="A39" t="s">
        <v>45</v>
      </c>
      <c r="B39">
        <f>SUM(B37:B38)</f>
        <v>0</v>
      </c>
    </row>
    <row r="41" spans="1:9" x14ac:dyDescent="0.3">
      <c r="A41" s="262" t="s">
        <v>42</v>
      </c>
      <c r="B41" s="262"/>
      <c r="C41" s="262"/>
      <c r="D41" s="262"/>
      <c r="E41" s="262"/>
      <c r="F41" s="262"/>
    </row>
    <row r="42" spans="1:9" x14ac:dyDescent="0.3">
      <c r="A42" s="262"/>
      <c r="B42" s="262"/>
      <c r="C42" s="262"/>
      <c r="D42" s="262"/>
      <c r="E42" s="262"/>
      <c r="F42" s="262"/>
    </row>
    <row r="43" spans="1:9" x14ac:dyDescent="0.3">
      <c r="A43" t="s">
        <v>44</v>
      </c>
      <c r="B43" t="s">
        <v>28</v>
      </c>
      <c r="C43" t="s">
        <v>16</v>
      </c>
    </row>
    <row r="46" spans="1:9" x14ac:dyDescent="0.3">
      <c r="A46" t="s">
        <v>46</v>
      </c>
      <c r="B46">
        <f>SUM(B44:B45)</f>
        <v>0</v>
      </c>
    </row>
    <row r="48" spans="1:9" x14ac:dyDescent="0.3">
      <c r="A48" s="262" t="s">
        <v>47</v>
      </c>
      <c r="B48" s="262"/>
      <c r="C48" s="262"/>
      <c r="D48" s="262"/>
      <c r="E48" s="262"/>
      <c r="F48" s="262"/>
    </row>
    <row r="49" spans="1:6" x14ac:dyDescent="0.3">
      <c r="A49" s="262"/>
      <c r="B49" s="262"/>
      <c r="C49" s="262"/>
      <c r="D49" s="262"/>
      <c r="E49" s="262"/>
      <c r="F49" s="262"/>
    </row>
    <row r="50" spans="1:6" x14ac:dyDescent="0.3">
      <c r="A50" s="21" t="s">
        <v>14</v>
      </c>
    </row>
    <row r="51" spans="1:6" x14ac:dyDescent="0.3">
      <c r="A51" t="s">
        <v>17</v>
      </c>
      <c r="B51" s="20">
        <f>B17</f>
        <v>5578.45</v>
      </c>
    </row>
    <row r="52" spans="1:6" x14ac:dyDescent="0.3">
      <c r="A52" t="s">
        <v>42</v>
      </c>
      <c r="B52">
        <f>B46</f>
        <v>0</v>
      </c>
    </row>
    <row r="53" spans="1:6" x14ac:dyDescent="0.3">
      <c r="A53" t="s">
        <v>1</v>
      </c>
      <c r="B53" s="20">
        <f>SUM(B51:B52)</f>
        <v>5578.45</v>
      </c>
    </row>
    <row r="55" spans="1:6" x14ac:dyDescent="0.3">
      <c r="A55" s="21" t="s">
        <v>15</v>
      </c>
    </row>
    <row r="56" spans="1:6" x14ac:dyDescent="0.3">
      <c r="A56" t="s">
        <v>31</v>
      </c>
      <c r="B56" s="20">
        <f>B32</f>
        <v>109.94</v>
      </c>
    </row>
    <row r="57" spans="1:6" x14ac:dyDescent="0.3">
      <c r="A57" t="s">
        <v>43</v>
      </c>
      <c r="B57">
        <f>B39</f>
        <v>0</v>
      </c>
    </row>
    <row r="58" spans="1:6" x14ac:dyDescent="0.3">
      <c r="A58" t="s">
        <v>1</v>
      </c>
      <c r="B58" s="20">
        <f>SUM(B56:B57)</f>
        <v>109.94</v>
      </c>
    </row>
    <row r="59" spans="1:6" x14ac:dyDescent="0.3">
      <c r="B59" s="20"/>
    </row>
    <row r="60" spans="1:6" x14ac:dyDescent="0.3">
      <c r="A60" s="22" t="s">
        <v>48</v>
      </c>
      <c r="B60" s="23">
        <f>SUM(B53-B58)</f>
        <v>5468.51</v>
      </c>
    </row>
  </sheetData>
  <mergeCells count="8">
    <mergeCell ref="A41:F42"/>
    <mergeCell ref="A48:F49"/>
    <mergeCell ref="G7:H7"/>
    <mergeCell ref="M22:N22"/>
    <mergeCell ref="A1:F4"/>
    <mergeCell ref="A5:F6"/>
    <mergeCell ref="A20:F21"/>
    <mergeCell ref="A34:F35"/>
  </mergeCells>
  <dataValidations count="8">
    <dataValidation type="list" allowBlank="1" showInputMessage="1" showErrorMessage="1" sqref="F23" xr:uid="{0A49A6C6-6F37-4CCC-BA84-8DCD35A59A7A}">
      <formula1>$I$7:$I$15</formula1>
    </dataValidation>
    <dataValidation type="list" allowBlank="1" showInputMessage="1" showErrorMessage="1" sqref="E23 E27 E31" xr:uid="{CFB87F4E-9B18-4F7F-A63F-C8F2A45F440E}">
      <formula1>$I$36:$I$39</formula1>
    </dataValidation>
    <dataValidation type="list" allowBlank="1" showInputMessage="1" showErrorMessage="1" sqref="D9:D10 D12:D14" xr:uid="{38E621B2-28EB-4F56-9688-D8B41C2D64D2}">
      <formula1>$I$7:$I$18</formula1>
    </dataValidation>
    <dataValidation type="list" allowBlank="1" showInputMessage="1" showErrorMessage="1" sqref="D11 D15:D16" xr:uid="{E9BC841E-19F0-460C-AD5C-9EEB96D98F75}">
      <formula1>$I$7:$I$11</formula1>
    </dataValidation>
    <dataValidation type="list" allowBlank="1" showInputMessage="1" showErrorMessage="1" sqref="A23:A31 M28:M29" xr:uid="{6E827C3C-BF60-448C-855B-6E41EC05F897}">
      <formula1>$I$22:$I$35</formula1>
    </dataValidation>
    <dataValidation type="list" allowBlank="1" showInputMessage="1" showErrorMessage="1" sqref="H25" xr:uid="{38632CC5-D21C-45D8-9B33-34D2CADACF4C}">
      <formula1>$I$22:$I$41</formula1>
    </dataValidation>
    <dataValidation type="list" allowBlank="1" showInputMessage="1" showErrorMessage="1" sqref="E24:E26 E28:E30" xr:uid="{0F9C3F28-3DD7-4D68-83FD-469455530504}">
      <formula1>$I$40:$I$43</formula1>
    </dataValidation>
    <dataValidation type="list" allowBlank="1" showInputMessage="1" showErrorMessage="1" sqref="I31" xr:uid="{77A9FFD8-377E-4AF4-B1BF-C3A11E00E821}">
      <formula1>$I$21:$I$37</formula1>
    </dataValidation>
  </dataValidations>
  <pageMargins left="0.75" right="0.75" top="1" bottom="1" header="0.3" footer="0.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5C41-348F-4FB7-8226-21CF2D95A5EF}">
  <dimension ref="A1:N64"/>
  <sheetViews>
    <sheetView workbookViewId="0">
      <selection activeCell="A26" sqref="A26:E26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7" width="11" customWidth="1"/>
    <col min="8" max="8" width="9" customWidth="1"/>
    <col min="9" max="9" width="11" customWidth="1"/>
  </cols>
  <sheetData>
    <row r="1" spans="1:9" ht="13" customHeight="1" x14ac:dyDescent="0.3">
      <c r="A1" s="264" t="s">
        <v>166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I8" s="4" t="s">
        <v>12</v>
      </c>
    </row>
    <row r="9" spans="1:9" x14ac:dyDescent="0.3">
      <c r="A9" s="1" t="s">
        <v>52</v>
      </c>
      <c r="B9" s="1">
        <v>204.81</v>
      </c>
      <c r="C9" s="1"/>
      <c r="E9" s="1" t="s">
        <v>138</v>
      </c>
      <c r="G9" s="1" t="s">
        <v>138</v>
      </c>
      <c r="H9">
        <f>SUMIF(E9:E14,"Fundraising",B9:B14)</f>
        <v>668.24</v>
      </c>
      <c r="I9" s="4" t="s">
        <v>13</v>
      </c>
    </row>
    <row r="10" spans="1:9" x14ac:dyDescent="0.3">
      <c r="A10" s="1" t="s">
        <v>52</v>
      </c>
      <c r="B10" s="1">
        <v>335.44</v>
      </c>
      <c r="C10" s="167"/>
      <c r="E10" s="1" t="s">
        <v>138</v>
      </c>
      <c r="G10" t="s">
        <v>137</v>
      </c>
      <c r="H10">
        <f>SUMIF(E9:E14,"Donation",B9:B14)</f>
        <v>0</v>
      </c>
      <c r="I10" t="s">
        <v>36</v>
      </c>
    </row>
    <row r="11" spans="1:9" x14ac:dyDescent="0.3">
      <c r="A11" s="1" t="s">
        <v>52</v>
      </c>
      <c r="B11" s="1">
        <v>127.99</v>
      </c>
      <c r="C11" s="1"/>
      <c r="E11" s="1" t="s">
        <v>138</v>
      </c>
      <c r="I11" t="s">
        <v>37</v>
      </c>
    </row>
    <row r="12" spans="1:9" x14ac:dyDescent="0.3">
      <c r="A12" s="1"/>
      <c r="B12" s="2"/>
      <c r="C12" s="3"/>
    </row>
    <row r="13" spans="1:9" x14ac:dyDescent="0.3">
      <c r="A13" s="1"/>
      <c r="B13" s="1"/>
      <c r="C13" s="1"/>
    </row>
    <row r="14" spans="1:9" x14ac:dyDescent="0.3">
      <c r="A14" s="1"/>
      <c r="B14" s="1"/>
      <c r="C14" s="1"/>
    </row>
    <row r="15" spans="1:9" x14ac:dyDescent="0.3">
      <c r="A15" s="1"/>
      <c r="B15" s="1"/>
      <c r="C15" s="1"/>
    </row>
    <row r="16" spans="1:9" x14ac:dyDescent="0.3">
      <c r="A16" s="1"/>
      <c r="B16" s="1"/>
      <c r="C16" s="1"/>
    </row>
    <row r="17" spans="1:14" x14ac:dyDescent="0.3">
      <c r="A17" s="1"/>
      <c r="B17" s="1"/>
    </row>
    <row r="18" spans="1:14" x14ac:dyDescent="0.3">
      <c r="A18" s="1" t="s">
        <v>30</v>
      </c>
      <c r="B18" s="20">
        <f>SUM(B9:B17)</f>
        <v>668.24</v>
      </c>
    </row>
    <row r="21" spans="1:14" x14ac:dyDescent="0.3">
      <c r="A21" s="262" t="s">
        <v>31</v>
      </c>
      <c r="B21" s="262"/>
      <c r="C21" s="262"/>
      <c r="D21" s="262"/>
      <c r="E21" s="262"/>
      <c r="F21" s="262"/>
    </row>
    <row r="22" spans="1:14" x14ac:dyDescent="0.3">
      <c r="A22" s="262"/>
      <c r="B22" s="262"/>
      <c r="C22" s="262"/>
      <c r="D22" s="262"/>
      <c r="E22" s="262"/>
      <c r="F22" s="262"/>
      <c r="I22" t="s">
        <v>0</v>
      </c>
    </row>
    <row r="23" spans="1:14" x14ac:dyDescent="0.3">
      <c r="A23" t="s">
        <v>32</v>
      </c>
      <c r="B23" t="s">
        <v>28</v>
      </c>
      <c r="C23" t="s">
        <v>16</v>
      </c>
      <c r="D23" t="s">
        <v>49</v>
      </c>
      <c r="E23" t="s">
        <v>34</v>
      </c>
      <c r="F23" t="s">
        <v>35</v>
      </c>
      <c r="I23" s="4" t="s">
        <v>5</v>
      </c>
      <c r="M23" s="263" t="s">
        <v>144</v>
      </c>
      <c r="N23" s="263"/>
    </row>
    <row r="24" spans="1:14" x14ac:dyDescent="0.3">
      <c r="A24" t="s">
        <v>8</v>
      </c>
      <c r="B24">
        <v>18</v>
      </c>
      <c r="C24" s="1" t="s">
        <v>51</v>
      </c>
      <c r="D24" t="s">
        <v>52</v>
      </c>
      <c r="E24" t="s">
        <v>40</v>
      </c>
      <c r="I24" s="4" t="s">
        <v>6</v>
      </c>
      <c r="M24" s="4" t="s">
        <v>5</v>
      </c>
      <c r="N24">
        <f>SUMIF(A23:A38,"Mileage &amp; Travel",B23:B38)</f>
        <v>0</v>
      </c>
    </row>
    <row r="25" spans="1:14" x14ac:dyDescent="0.3">
      <c r="A25" s="174" t="s">
        <v>4</v>
      </c>
      <c r="B25">
        <v>61.68</v>
      </c>
      <c r="C25" s="1" t="s">
        <v>167</v>
      </c>
      <c r="D25" t="s">
        <v>50</v>
      </c>
      <c r="E25" t="s">
        <v>40</v>
      </c>
      <c r="F25" s="4"/>
      <c r="I25" s="4" t="s">
        <v>7</v>
      </c>
      <c r="M25" t="s">
        <v>10</v>
      </c>
      <c r="N25">
        <f>SUMIF(A22:A37,"Events expenditure",B22:B37)</f>
        <v>0</v>
      </c>
    </row>
    <row r="26" spans="1:14" x14ac:dyDescent="0.3">
      <c r="C26" s="1"/>
      <c r="I26" s="4" t="s">
        <v>8</v>
      </c>
      <c r="M26" t="s">
        <v>6</v>
      </c>
      <c r="N26">
        <f>SUMIF(A23:A38,"Stock - comfort kits",B23:B38)</f>
        <v>0</v>
      </c>
    </row>
    <row r="27" spans="1:14" x14ac:dyDescent="0.3">
      <c r="C27" s="167"/>
      <c r="I27" s="174" t="s">
        <v>4</v>
      </c>
      <c r="M27" t="s">
        <v>135</v>
      </c>
      <c r="N27">
        <f>SUMIF(A24:A39,"Gratuity",B24:B39)</f>
        <v>0</v>
      </c>
    </row>
    <row r="28" spans="1:14" x14ac:dyDescent="0.3">
      <c r="C28" s="167"/>
      <c r="I28" s="4"/>
      <c r="M28" t="s">
        <v>4</v>
      </c>
      <c r="N28">
        <f>SUMIF(A25:A40,"Postage &amp; Packaging",B25:B40)</f>
        <v>61.68</v>
      </c>
    </row>
    <row r="29" spans="1:14" x14ac:dyDescent="0.3">
      <c r="C29" s="167"/>
      <c r="I29" s="4"/>
      <c r="M29" t="s">
        <v>7</v>
      </c>
      <c r="N29">
        <f>SUMIF(A26:A41,"Marketing",B26:B41)</f>
        <v>0</v>
      </c>
    </row>
    <row r="30" spans="1:14" x14ac:dyDescent="0.3">
      <c r="C30" s="167"/>
      <c r="I30" s="4"/>
      <c r="M30" s="174"/>
    </row>
    <row r="31" spans="1:14" x14ac:dyDescent="0.3">
      <c r="C31" s="167"/>
      <c r="I31" s="4"/>
    </row>
    <row r="32" spans="1:14" x14ac:dyDescent="0.3">
      <c r="A32" s="168"/>
      <c r="C32" s="167"/>
      <c r="I32" s="4" t="s">
        <v>5</v>
      </c>
      <c r="M32" s="4" t="s">
        <v>8</v>
      </c>
      <c r="N32">
        <f>SUMIF(A23:A38,"Overheads",B23:B38)</f>
        <v>18</v>
      </c>
    </row>
    <row r="33" spans="1:14" x14ac:dyDescent="0.3">
      <c r="A33" s="172"/>
      <c r="B33" s="172"/>
      <c r="C33" s="173"/>
      <c r="F33" s="172"/>
      <c r="G33" s="172"/>
      <c r="I33" s="4"/>
      <c r="M33" s="4"/>
    </row>
    <row r="34" spans="1:14" x14ac:dyDescent="0.3">
      <c r="A34" s="174"/>
      <c r="B34" s="174"/>
      <c r="C34" s="167"/>
      <c r="F34" s="172"/>
      <c r="G34" s="172"/>
      <c r="I34" s="4"/>
      <c r="M34" s="4"/>
    </row>
    <row r="35" spans="1:14" x14ac:dyDescent="0.3">
      <c r="C35" s="1"/>
      <c r="I35" s="4" t="s">
        <v>8</v>
      </c>
      <c r="M35" t="s">
        <v>142</v>
      </c>
      <c r="N35">
        <f>SUMIF(A24:A39,"office expenses",B24:B39)</f>
        <v>0</v>
      </c>
    </row>
    <row r="36" spans="1:14" x14ac:dyDescent="0.3">
      <c r="A36" t="s">
        <v>41</v>
      </c>
      <c r="B36" s="20">
        <f>SUM(B24:B35)</f>
        <v>79.680000000000007</v>
      </c>
      <c r="I36" s="4" t="s">
        <v>10</v>
      </c>
    </row>
    <row r="37" spans="1:14" x14ac:dyDescent="0.3">
      <c r="I37" t="s">
        <v>135</v>
      </c>
    </row>
    <row r="38" spans="1:14" x14ac:dyDescent="0.3">
      <c r="A38" s="262" t="s">
        <v>43</v>
      </c>
      <c r="B38" s="262"/>
      <c r="C38" s="262"/>
      <c r="D38" s="262"/>
      <c r="E38" s="262"/>
      <c r="F38" s="262"/>
      <c r="I38" t="s">
        <v>142</v>
      </c>
      <c r="N38">
        <f>SUM(N24:N37)</f>
        <v>79.680000000000007</v>
      </c>
    </row>
    <row r="39" spans="1:14" x14ac:dyDescent="0.3">
      <c r="A39" s="262"/>
      <c r="B39" s="262"/>
      <c r="C39" s="262"/>
      <c r="D39" s="262"/>
      <c r="E39" s="262"/>
      <c r="F39" s="262"/>
      <c r="I39" t="s">
        <v>34</v>
      </c>
    </row>
    <row r="40" spans="1:14" x14ac:dyDescent="0.3">
      <c r="A40" t="s">
        <v>44</v>
      </c>
      <c r="B40" t="s">
        <v>28</v>
      </c>
      <c r="C40" t="s">
        <v>16</v>
      </c>
      <c r="I40" t="s">
        <v>39</v>
      </c>
    </row>
    <row r="41" spans="1:14" x14ac:dyDescent="0.3">
      <c r="I41" t="s">
        <v>40</v>
      </c>
    </row>
    <row r="43" spans="1:14" x14ac:dyDescent="0.3">
      <c r="A43" t="s">
        <v>45</v>
      </c>
      <c r="B43">
        <f>SUM(B41:B42)</f>
        <v>0</v>
      </c>
    </row>
    <row r="45" spans="1:14" x14ac:dyDescent="0.3">
      <c r="A45" s="262" t="s">
        <v>42</v>
      </c>
      <c r="B45" s="262"/>
      <c r="C45" s="262"/>
      <c r="D45" s="262"/>
      <c r="E45" s="262"/>
      <c r="F45" s="262"/>
    </row>
    <row r="46" spans="1:14" x14ac:dyDescent="0.3">
      <c r="A46" s="262"/>
      <c r="B46" s="262"/>
      <c r="C46" s="262"/>
      <c r="D46" s="262"/>
      <c r="E46" s="262"/>
      <c r="F46" s="262"/>
    </row>
    <row r="47" spans="1:14" x14ac:dyDescent="0.3">
      <c r="A47" t="s">
        <v>44</v>
      </c>
      <c r="B47" t="s">
        <v>28</v>
      </c>
      <c r="C47" t="s">
        <v>16</v>
      </c>
    </row>
    <row r="50" spans="1:6" x14ac:dyDescent="0.3">
      <c r="A50" t="s">
        <v>46</v>
      </c>
      <c r="B50">
        <f>SUM(B48:B49)</f>
        <v>0</v>
      </c>
    </row>
    <row r="52" spans="1:6" x14ac:dyDescent="0.3">
      <c r="A52" s="262" t="s">
        <v>47</v>
      </c>
      <c r="B52" s="262"/>
      <c r="C52" s="262"/>
      <c r="D52" s="262"/>
      <c r="E52" s="262"/>
      <c r="F52" s="262"/>
    </row>
    <row r="53" spans="1:6" x14ac:dyDescent="0.3">
      <c r="A53" s="262"/>
      <c r="B53" s="262"/>
      <c r="C53" s="262"/>
      <c r="D53" s="262"/>
      <c r="E53" s="262"/>
      <c r="F53" s="262"/>
    </row>
    <row r="54" spans="1:6" x14ac:dyDescent="0.3">
      <c r="A54" s="21" t="s">
        <v>14</v>
      </c>
    </row>
    <row r="55" spans="1:6" x14ac:dyDescent="0.3">
      <c r="A55" t="s">
        <v>17</v>
      </c>
      <c r="B55" s="20">
        <f>B18</f>
        <v>668.24</v>
      </c>
    </row>
    <row r="56" spans="1:6" x14ac:dyDescent="0.3">
      <c r="A56" t="s">
        <v>42</v>
      </c>
      <c r="B56">
        <f>B50</f>
        <v>0</v>
      </c>
    </row>
    <row r="57" spans="1:6" x14ac:dyDescent="0.3">
      <c r="A57" t="s">
        <v>1</v>
      </c>
      <c r="B57" s="20">
        <f>SUM(B55:B56)</f>
        <v>668.24</v>
      </c>
    </row>
    <row r="59" spans="1:6" x14ac:dyDescent="0.3">
      <c r="A59" s="21" t="s">
        <v>15</v>
      </c>
    </row>
    <row r="60" spans="1:6" x14ac:dyDescent="0.3">
      <c r="A60" t="s">
        <v>31</v>
      </c>
      <c r="B60" s="20">
        <f>B36</f>
        <v>79.680000000000007</v>
      </c>
    </row>
    <row r="61" spans="1:6" x14ac:dyDescent="0.3">
      <c r="A61" t="s">
        <v>43</v>
      </c>
      <c r="B61">
        <f>B43</f>
        <v>0</v>
      </c>
    </row>
    <row r="62" spans="1:6" x14ac:dyDescent="0.3">
      <c r="A62" t="s">
        <v>1</v>
      </c>
      <c r="B62" s="20">
        <f>SUM(B60:B61)</f>
        <v>79.680000000000007</v>
      </c>
    </row>
    <row r="63" spans="1:6" x14ac:dyDescent="0.3">
      <c r="B63" s="20"/>
    </row>
    <row r="64" spans="1:6" x14ac:dyDescent="0.3">
      <c r="A64" s="22" t="s">
        <v>48</v>
      </c>
      <c r="B64" s="23">
        <f>SUM(B57-B62)</f>
        <v>588.55999999999995</v>
      </c>
    </row>
  </sheetData>
  <mergeCells count="7">
    <mergeCell ref="A52:F53"/>
    <mergeCell ref="M23:N23"/>
    <mergeCell ref="A1:F4"/>
    <mergeCell ref="A5:F6"/>
    <mergeCell ref="A21:F22"/>
    <mergeCell ref="A38:F39"/>
    <mergeCell ref="A45:F46"/>
  </mergeCells>
  <dataValidations count="9">
    <dataValidation type="list" allowBlank="1" showInputMessage="1" showErrorMessage="1" sqref="D10" xr:uid="{D7DFE8C8-E011-466E-8D46-57A603FCE0B2}">
      <formula1>$I$7:$I$11</formula1>
    </dataValidation>
    <dataValidation type="list" allowBlank="1" showInputMessage="1" showErrorMessage="1" sqref="F24" xr:uid="{716FAAF4-DF50-4142-88A0-B054EA3F69CE}">
      <formula1>$I$7:$I$17</formula1>
    </dataValidation>
    <dataValidation type="list" allowBlank="1" showInputMessage="1" showErrorMessage="1" sqref="D9 D11:D16" xr:uid="{EE5A58E5-FD8F-41A0-B187-FEC008809660}">
      <formula1>$I$7:$I$19</formula1>
    </dataValidation>
    <dataValidation type="list" allowBlank="1" showInputMessage="1" showErrorMessage="1" sqref="H22 M27:M29 A29:A30 A32:A35 A24 A26:A27" xr:uid="{38B14477-742A-480D-A0D6-F6485C76F8BD}">
      <formula1>$I$23:$I$39</formula1>
    </dataValidation>
    <dataValidation type="list" allowBlank="1" showInputMessage="1" showErrorMessage="1" sqref="E24:E35" xr:uid="{4558D638-D9BB-4787-A3D2-4C2F6FD82EF8}">
      <formula1>$I$40:$I$43</formula1>
    </dataValidation>
    <dataValidation type="list" allowBlank="1" showInputMessage="1" showErrorMessage="1" sqref="H25" xr:uid="{40EF4327-4436-43FF-982A-EBFAF0CBF652}">
      <formula1>$I$23:$I$45</formula1>
    </dataValidation>
    <dataValidation type="list" allowBlank="1" showInputMessage="1" showErrorMessage="1" sqref="A28" xr:uid="{A57FDE4C-25C5-4944-A18E-7643CBCF1DB6}">
      <formula1>$I$21:$I$39</formula1>
    </dataValidation>
    <dataValidation type="list" allowBlank="1" showInputMessage="1" showErrorMessage="1" sqref="A31" xr:uid="{FC5E3777-A1E6-4E01-88A3-0821C01E3A79}">
      <formula1>$I$21:$I$30</formula1>
    </dataValidation>
    <dataValidation type="list" allowBlank="1" showInputMessage="1" showErrorMessage="1" sqref="A25 M30 I27" xr:uid="{FD6FFDC3-9642-4CF5-91D1-199491551730}">
      <formula1>$I$21:$I$37</formula1>
    </dataValidation>
  </dataValidations>
  <pageMargins left="0.75" right="0.75" top="1" bottom="1" header="0.3" footer="0.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880D-0C7E-4942-A121-47A73A0686EE}">
  <dimension ref="A1:N56"/>
  <sheetViews>
    <sheetView topLeftCell="A2" workbookViewId="0">
      <selection activeCell="C27" sqref="C27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9" width="11" customWidth="1"/>
  </cols>
  <sheetData>
    <row r="1" spans="1:9" ht="13" customHeight="1" x14ac:dyDescent="0.3">
      <c r="A1" s="264" t="s">
        <v>160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4" t="s">
        <v>12</v>
      </c>
    </row>
    <row r="9" spans="1:9" x14ac:dyDescent="0.3">
      <c r="A9" s="1" t="s">
        <v>52</v>
      </c>
      <c r="B9" s="1">
        <v>701.88</v>
      </c>
      <c r="C9" s="1"/>
      <c r="E9" t="s">
        <v>138</v>
      </c>
      <c r="G9" s="1" t="s">
        <v>138</v>
      </c>
      <c r="H9">
        <f>SUMIF(E9:E14,"Fundraising",B9:B14)</f>
        <v>1283.47</v>
      </c>
      <c r="I9" s="4" t="s">
        <v>13</v>
      </c>
    </row>
    <row r="10" spans="1:9" x14ac:dyDescent="0.3">
      <c r="A10" s="1" t="s">
        <v>52</v>
      </c>
      <c r="B10" s="1">
        <v>287.89</v>
      </c>
      <c r="C10" s="1"/>
      <c r="E10" t="s">
        <v>138</v>
      </c>
      <c r="G10" t="s">
        <v>137</v>
      </c>
      <c r="H10">
        <f>SUMIF(E9:E14,"Donation",B9:B14)</f>
        <v>0</v>
      </c>
      <c r="I10" t="s">
        <v>36</v>
      </c>
    </row>
    <row r="11" spans="1:9" x14ac:dyDescent="0.3">
      <c r="A11" s="1" t="s">
        <v>52</v>
      </c>
      <c r="B11" s="2">
        <v>293.7</v>
      </c>
      <c r="C11" s="1"/>
      <c r="E11" t="s">
        <v>138</v>
      </c>
      <c r="G11" t="s">
        <v>147</v>
      </c>
      <c r="H11">
        <f>SUMIF(E9:E14,"Cost reimbursement",B9:B14)</f>
        <v>0</v>
      </c>
      <c r="I11" t="s">
        <v>37</v>
      </c>
    </row>
    <row r="12" spans="1:9" x14ac:dyDescent="0.3">
      <c r="A12" s="167"/>
      <c r="B12" s="2"/>
      <c r="C12" s="3"/>
      <c r="I12" t="s">
        <v>38</v>
      </c>
    </row>
    <row r="13" spans="1:9" x14ac:dyDescent="0.3">
      <c r="A13" s="3"/>
      <c r="B13" s="2"/>
      <c r="C13" s="3"/>
    </row>
    <row r="14" spans="1:9" x14ac:dyDescent="0.3">
      <c r="A14" s="1"/>
      <c r="B14" s="1"/>
      <c r="C14" s="1"/>
    </row>
    <row r="16" spans="1:9" x14ac:dyDescent="0.3">
      <c r="A16" s="1" t="s">
        <v>30</v>
      </c>
      <c r="B16" s="20">
        <f>SUM(B9:B15)</f>
        <v>1283.47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I21" s="4" t="s">
        <v>5</v>
      </c>
    </row>
    <row r="22" spans="1:14" x14ac:dyDescent="0.3">
      <c r="A22" t="s">
        <v>8</v>
      </c>
      <c r="B22">
        <v>18</v>
      </c>
      <c r="C22" s="1" t="s">
        <v>51</v>
      </c>
      <c r="D22" t="s">
        <v>52</v>
      </c>
      <c r="E22" t="s">
        <v>40</v>
      </c>
      <c r="I22" s="4" t="s">
        <v>6</v>
      </c>
      <c r="M22" s="263" t="s">
        <v>144</v>
      </c>
      <c r="N22" s="263"/>
    </row>
    <row r="23" spans="1:14" x14ac:dyDescent="0.3">
      <c r="A23" s="177" t="s">
        <v>4</v>
      </c>
      <c r="B23" s="177">
        <v>80.180000000000007</v>
      </c>
      <c r="C23" s="1" t="s">
        <v>161</v>
      </c>
      <c r="F23" s="4"/>
      <c r="I23" s="4" t="s">
        <v>7</v>
      </c>
      <c r="M23" s="4" t="s">
        <v>5</v>
      </c>
      <c r="N23">
        <f>SUMIF(A22:A31,"Mileage &amp; Travel",B22:B31)</f>
        <v>0</v>
      </c>
    </row>
    <row r="24" spans="1:14" x14ac:dyDescent="0.3">
      <c r="A24" t="s">
        <v>4</v>
      </c>
      <c r="B24">
        <v>38.74</v>
      </c>
      <c r="C24" s="1" t="s">
        <v>162</v>
      </c>
      <c r="I24" s="4" t="s">
        <v>8</v>
      </c>
      <c r="M24" t="s">
        <v>3</v>
      </c>
      <c r="N24">
        <f>SUMIF(A21:A30,"Stationary",B21:B30)</f>
        <v>0</v>
      </c>
    </row>
    <row r="25" spans="1:14" x14ac:dyDescent="0.3">
      <c r="A25" t="s">
        <v>6</v>
      </c>
      <c r="B25">
        <v>71.569999999999993</v>
      </c>
      <c r="C25" s="1" t="s">
        <v>163</v>
      </c>
      <c r="I25" s="4" t="s">
        <v>5</v>
      </c>
      <c r="M25" t="s">
        <v>6</v>
      </c>
      <c r="N25">
        <f>SUMIF(A22:A31,"Stock - comfort kits",B22:B31)</f>
        <v>318.67</v>
      </c>
    </row>
    <row r="26" spans="1:14" x14ac:dyDescent="0.3">
      <c r="A26" s="177" t="s">
        <v>6</v>
      </c>
      <c r="B26" s="177">
        <v>217.86</v>
      </c>
      <c r="C26" s="1" t="s">
        <v>164</v>
      </c>
      <c r="I26" s="4"/>
    </row>
    <row r="27" spans="1:14" x14ac:dyDescent="0.3">
      <c r="A27" t="s">
        <v>6</v>
      </c>
      <c r="B27">
        <v>29.24</v>
      </c>
      <c r="C27" s="1" t="s">
        <v>165</v>
      </c>
      <c r="I27" s="163" t="s">
        <v>4</v>
      </c>
      <c r="M27" s="4" t="s">
        <v>8</v>
      </c>
      <c r="N27">
        <f>SUMIF(A22:A31,"Overheads",B22:B31)</f>
        <v>18</v>
      </c>
    </row>
    <row r="28" spans="1:14" x14ac:dyDescent="0.3">
      <c r="A28" t="s">
        <v>41</v>
      </c>
      <c r="B28" s="20">
        <f>SUM(B22:B27)</f>
        <v>455.59000000000003</v>
      </c>
      <c r="I28" s="4" t="s">
        <v>10</v>
      </c>
      <c r="M28" s="4" t="s">
        <v>4</v>
      </c>
      <c r="N28">
        <f>SUMIF(A23:A32,"Postage &amp; Packaging",B23:B32)</f>
        <v>118.92000000000002</v>
      </c>
    </row>
    <row r="29" spans="1:14" x14ac:dyDescent="0.3">
      <c r="I29" t="s">
        <v>141</v>
      </c>
    </row>
    <row r="30" spans="1:14" x14ac:dyDescent="0.3">
      <c r="A30" s="262" t="s">
        <v>43</v>
      </c>
      <c r="B30" s="262"/>
      <c r="C30" s="262"/>
      <c r="D30" s="262"/>
      <c r="E30" s="262"/>
      <c r="F30" s="262"/>
      <c r="I30" t="s">
        <v>136</v>
      </c>
    </row>
    <row r="31" spans="1:14" x14ac:dyDescent="0.3">
      <c r="A31" s="262"/>
      <c r="B31" s="262"/>
      <c r="C31" s="262"/>
      <c r="D31" s="262"/>
      <c r="E31" s="262"/>
      <c r="F31" s="262"/>
      <c r="I31" t="s">
        <v>34</v>
      </c>
      <c r="N31">
        <f>SUM(N23:N30)</f>
        <v>455.59000000000003</v>
      </c>
    </row>
    <row r="32" spans="1:14" x14ac:dyDescent="0.3">
      <c r="A32" t="s">
        <v>44</v>
      </c>
      <c r="B32" t="s">
        <v>28</v>
      </c>
      <c r="C32" t="s">
        <v>16</v>
      </c>
      <c r="I32" t="s">
        <v>39</v>
      </c>
    </row>
    <row r="33" spans="1:9" x14ac:dyDescent="0.3">
      <c r="I33" t="s">
        <v>40</v>
      </c>
    </row>
    <row r="35" spans="1:9" x14ac:dyDescent="0.3">
      <c r="A35" t="s">
        <v>45</v>
      </c>
      <c r="B35">
        <f>SUM(B33:B34)</f>
        <v>0</v>
      </c>
    </row>
    <row r="37" spans="1:9" x14ac:dyDescent="0.3">
      <c r="A37" s="262" t="s">
        <v>42</v>
      </c>
      <c r="B37" s="262"/>
      <c r="C37" s="262"/>
      <c r="D37" s="262"/>
      <c r="E37" s="262"/>
      <c r="F37" s="262"/>
    </row>
    <row r="38" spans="1:9" x14ac:dyDescent="0.3">
      <c r="A38" s="262"/>
      <c r="B38" s="262"/>
      <c r="C38" s="262"/>
      <c r="D38" s="262"/>
      <c r="E38" s="262"/>
      <c r="F38" s="262"/>
    </row>
    <row r="39" spans="1:9" x14ac:dyDescent="0.3">
      <c r="A39" t="s">
        <v>44</v>
      </c>
      <c r="B39" t="s">
        <v>28</v>
      </c>
      <c r="C39" t="s">
        <v>16</v>
      </c>
    </row>
    <row r="42" spans="1:9" x14ac:dyDescent="0.3">
      <c r="A42" t="s">
        <v>46</v>
      </c>
      <c r="B42">
        <f>SUM(B40:B41)</f>
        <v>0</v>
      </c>
    </row>
    <row r="44" spans="1:9" x14ac:dyDescent="0.3">
      <c r="A44" s="262" t="s">
        <v>47</v>
      </c>
      <c r="B44" s="262"/>
      <c r="C44" s="262"/>
      <c r="D44" s="262"/>
      <c r="E44" s="262"/>
      <c r="F44" s="262"/>
    </row>
    <row r="45" spans="1:9" x14ac:dyDescent="0.3">
      <c r="A45" s="262"/>
      <c r="B45" s="262"/>
      <c r="C45" s="262"/>
      <c r="D45" s="262"/>
      <c r="E45" s="262"/>
      <c r="F45" s="262"/>
    </row>
    <row r="46" spans="1:9" x14ac:dyDescent="0.3">
      <c r="A46" s="21" t="s">
        <v>14</v>
      </c>
    </row>
    <row r="47" spans="1:9" x14ac:dyDescent="0.3">
      <c r="A47" t="s">
        <v>17</v>
      </c>
      <c r="B47" s="20">
        <f>B16</f>
        <v>1283.47</v>
      </c>
    </row>
    <row r="48" spans="1:9" x14ac:dyDescent="0.3">
      <c r="A48" t="s">
        <v>42</v>
      </c>
      <c r="B48">
        <f>B42</f>
        <v>0</v>
      </c>
    </row>
    <row r="49" spans="1:2" x14ac:dyDescent="0.3">
      <c r="A49" t="s">
        <v>1</v>
      </c>
      <c r="B49" s="20">
        <f>SUM(B47:B48)</f>
        <v>1283.47</v>
      </c>
    </row>
    <row r="51" spans="1:2" x14ac:dyDescent="0.3">
      <c r="A51" s="21" t="s">
        <v>15</v>
      </c>
    </row>
    <row r="52" spans="1:2" x14ac:dyDescent="0.3">
      <c r="A52" t="s">
        <v>31</v>
      </c>
      <c r="B52" s="20">
        <f>B28</f>
        <v>455.59000000000003</v>
      </c>
    </row>
    <row r="53" spans="1:2" x14ac:dyDescent="0.3">
      <c r="A53" t="s">
        <v>43</v>
      </c>
      <c r="B53">
        <f>B35</f>
        <v>0</v>
      </c>
    </row>
    <row r="54" spans="1:2" x14ac:dyDescent="0.3">
      <c r="A54" t="s">
        <v>1</v>
      </c>
      <c r="B54" s="20">
        <f>SUM(B52:B53)</f>
        <v>455.59000000000003</v>
      </c>
    </row>
    <row r="55" spans="1:2" x14ac:dyDescent="0.3">
      <c r="B55" s="20"/>
    </row>
    <row r="56" spans="1:2" x14ac:dyDescent="0.3">
      <c r="A56" s="22" t="s">
        <v>48</v>
      </c>
      <c r="B56" s="23">
        <f>SUM(B49-B54)</f>
        <v>827.88</v>
      </c>
    </row>
  </sheetData>
  <mergeCells count="8">
    <mergeCell ref="A37:F38"/>
    <mergeCell ref="A44:F45"/>
    <mergeCell ref="G8:H8"/>
    <mergeCell ref="M22:N22"/>
    <mergeCell ref="A1:F4"/>
    <mergeCell ref="A5:F6"/>
    <mergeCell ref="A19:F20"/>
    <mergeCell ref="A30:F31"/>
  </mergeCells>
  <dataValidations count="6">
    <dataValidation type="list" allowBlank="1" showInputMessage="1" showErrorMessage="1" sqref="F22" xr:uid="{106C3FA9-8F32-451D-87F3-30D6C145598A}">
      <formula1>$I$7:$I$15</formula1>
    </dataValidation>
    <dataValidation type="list" allowBlank="1" showInputMessage="1" showErrorMessage="1" sqref="D11:D14" xr:uid="{1C099E51-1B7A-45D7-9AB2-F5BE243348EA}">
      <formula1>$I$7:$I$17</formula1>
    </dataValidation>
    <dataValidation type="list" allowBlank="1" showInputMessage="1" showErrorMessage="1" sqref="D10" xr:uid="{082A11EB-DF57-4F4B-A480-B05241B88D80}">
      <formula1>$I$7:$I$11</formula1>
    </dataValidation>
    <dataValidation type="list" allowBlank="1" showInputMessage="1" showErrorMessage="1" sqref="A22:A23 A27" xr:uid="{059B949A-B7F0-4839-B8D0-83B5C920439E}">
      <formula1>$I$21:$I$31</formula1>
    </dataValidation>
    <dataValidation type="list" allowBlank="1" showInputMessage="1" showErrorMessage="1" sqref="H23 A24:A26" xr:uid="{B74A5719-764F-4534-8195-0AB0DD184447}">
      <formula1>$I$21:$I$37</formula1>
    </dataValidation>
    <dataValidation type="list" allowBlank="1" showInputMessage="1" showErrorMessage="1" sqref="E22:E27" xr:uid="{67AB1E5C-A5A5-4102-8B19-EBC20D927AD8}">
      <formula1>$I$32:$I$35</formula1>
    </dataValidation>
  </dataValidations>
  <pageMargins left="0.75" right="0.75" top="1" bottom="1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2451-A0BB-4BA9-8F45-983EE5737825}">
  <dimension ref="A1:N62"/>
  <sheetViews>
    <sheetView topLeftCell="A3" workbookViewId="0">
      <selection activeCell="A5" sqref="A5:F6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8" width="11" customWidth="1"/>
    <col min="9" max="9" width="11" hidden="1" customWidth="1"/>
  </cols>
  <sheetData>
    <row r="1" spans="1:9" ht="13" customHeight="1" x14ac:dyDescent="0.3">
      <c r="A1" s="265" t="s">
        <v>159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G7" s="263" t="s">
        <v>143</v>
      </c>
      <c r="H7" s="263"/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1" t="s">
        <v>138</v>
      </c>
      <c r="H8">
        <f>SUMIF(E8:E13,"Fundraising",B8:B13)</f>
        <v>0</v>
      </c>
      <c r="I8" s="4" t="s">
        <v>12</v>
      </c>
    </row>
    <row r="9" spans="1:9" x14ac:dyDescent="0.3">
      <c r="A9" s="1" t="s">
        <v>52</v>
      </c>
      <c r="B9" s="1">
        <v>62.76</v>
      </c>
      <c r="C9" s="1"/>
      <c r="E9" t="s">
        <v>137</v>
      </c>
      <c r="G9" t="s">
        <v>137</v>
      </c>
      <c r="H9">
        <f>SUMIF(E8:E13,"Donation",B8:B13)</f>
        <v>62.76</v>
      </c>
      <c r="I9" s="4" t="s">
        <v>13</v>
      </c>
    </row>
    <row r="10" spans="1:9" x14ac:dyDescent="0.3">
      <c r="A10" s="1"/>
      <c r="B10" s="2"/>
      <c r="C10" s="1"/>
      <c r="E10" t="s">
        <v>137</v>
      </c>
      <c r="I10" t="s">
        <v>36</v>
      </c>
    </row>
    <row r="11" spans="1:9" x14ac:dyDescent="0.3">
      <c r="A11" s="1"/>
      <c r="B11" s="2"/>
      <c r="C11" s="1"/>
      <c r="E11" t="s">
        <v>137</v>
      </c>
      <c r="I11" t="s">
        <v>37</v>
      </c>
    </row>
    <row r="12" spans="1:9" x14ac:dyDescent="0.3">
      <c r="A12" s="1"/>
      <c r="B12" s="2"/>
      <c r="C12" s="3"/>
      <c r="E12" t="s">
        <v>137</v>
      </c>
      <c r="I12" t="s">
        <v>38</v>
      </c>
    </row>
    <row r="13" spans="1:9" x14ac:dyDescent="0.3">
      <c r="A13" s="167"/>
      <c r="B13" s="2"/>
      <c r="C13" s="3"/>
      <c r="E13" t="s">
        <v>137</v>
      </c>
    </row>
    <row r="14" spans="1:9" x14ac:dyDescent="0.3">
      <c r="A14" s="1"/>
      <c r="B14" s="1"/>
      <c r="C14" s="1"/>
    </row>
    <row r="16" spans="1:9" x14ac:dyDescent="0.3">
      <c r="A16" s="1" t="s">
        <v>30</v>
      </c>
      <c r="B16" s="20">
        <f>SUM(B9:B15)</f>
        <v>62.76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I21" t="s">
        <v>3</v>
      </c>
    </row>
    <row r="22" spans="1:14" x14ac:dyDescent="0.3">
      <c r="A22" t="s">
        <v>8</v>
      </c>
      <c r="B22" s="2">
        <v>18</v>
      </c>
      <c r="C22" s="1" t="s">
        <v>51</v>
      </c>
      <c r="D22" s="1" t="s">
        <v>51</v>
      </c>
      <c r="E22" t="s">
        <v>40</v>
      </c>
      <c r="G22" s="172"/>
      <c r="I22" s="4" t="s">
        <v>4</v>
      </c>
      <c r="J22" s="20"/>
      <c r="M22" s="263" t="s">
        <v>144</v>
      </c>
      <c r="N22" s="263"/>
    </row>
    <row r="23" spans="1:14" x14ac:dyDescent="0.3">
      <c r="B23" s="2"/>
      <c r="C23" s="1"/>
      <c r="F23" s="172"/>
      <c r="I23" s="4" t="s">
        <v>5</v>
      </c>
      <c r="M23" s="4" t="s">
        <v>5</v>
      </c>
      <c r="N23">
        <f>SUMIF(A22:A31,"Mileage &amp; Travel",B22:B31)</f>
        <v>0</v>
      </c>
    </row>
    <row r="24" spans="1:14" x14ac:dyDescent="0.3">
      <c r="A24" s="174"/>
      <c r="B24" s="181"/>
      <c r="C24" s="182"/>
      <c r="G24" s="172"/>
      <c r="I24" s="4" t="s">
        <v>6</v>
      </c>
      <c r="M24" t="s">
        <v>3</v>
      </c>
      <c r="N24">
        <f>SUMIF(A21:A30,"Stationary",B21:B30)</f>
        <v>0</v>
      </c>
    </row>
    <row r="25" spans="1:14" x14ac:dyDescent="0.3">
      <c r="B25" s="2"/>
      <c r="C25" s="1"/>
      <c r="I25" s="4" t="s">
        <v>7</v>
      </c>
      <c r="M25" t="s">
        <v>6</v>
      </c>
      <c r="N25">
        <f>SUMIF(A22:A31,"Stock - comfort kits",B22:B31)</f>
        <v>0</v>
      </c>
    </row>
    <row r="26" spans="1:14" x14ac:dyDescent="0.3">
      <c r="B26" s="2"/>
      <c r="C26" s="1"/>
      <c r="I26" s="4" t="s">
        <v>7</v>
      </c>
      <c r="M26" s="168" t="s">
        <v>10</v>
      </c>
      <c r="N26">
        <f>SUMIF(A23:A32,"Events expenditure",B23:B32)</f>
        <v>0</v>
      </c>
    </row>
    <row r="27" spans="1:14" x14ac:dyDescent="0.3">
      <c r="B27" s="2"/>
      <c r="C27" s="1"/>
      <c r="D27" s="1"/>
      <c r="I27" s="4" t="s">
        <v>8</v>
      </c>
      <c r="M27" s="4" t="s">
        <v>8</v>
      </c>
      <c r="N27">
        <f>SUMIF(A22:A32,"Overheads",B22:B32)</f>
        <v>18</v>
      </c>
    </row>
    <row r="28" spans="1:14" x14ac:dyDescent="0.3">
      <c r="B28" s="2"/>
      <c r="C28" s="1"/>
      <c r="F28" s="172"/>
      <c r="I28" s="4" t="s">
        <v>5</v>
      </c>
      <c r="J28" s="20"/>
      <c r="M28" s="168" t="s">
        <v>4</v>
      </c>
      <c r="N28">
        <f>SUMIF(A21:A33,"Postage &amp; Packaging",B21:B33)</f>
        <v>0</v>
      </c>
    </row>
    <row r="29" spans="1:14" x14ac:dyDescent="0.3">
      <c r="B29" s="2"/>
      <c r="C29" s="1"/>
      <c r="I29" s="4" t="s">
        <v>6</v>
      </c>
      <c r="M29" t="s">
        <v>7</v>
      </c>
      <c r="N29">
        <f>SUMIF(A22:A34,"Marketing",B22:B34)</f>
        <v>0</v>
      </c>
    </row>
    <row r="30" spans="1:14" x14ac:dyDescent="0.3">
      <c r="B30" s="1"/>
      <c r="C30" s="1"/>
      <c r="I30" s="4" t="s">
        <v>7</v>
      </c>
    </row>
    <row r="31" spans="1:14" x14ac:dyDescent="0.3">
      <c r="B31" s="2"/>
      <c r="C31" s="1"/>
      <c r="I31" s="4" t="s">
        <v>8</v>
      </c>
      <c r="N31">
        <f>SUM(N23:N30)</f>
        <v>18</v>
      </c>
    </row>
    <row r="32" spans="1:14" x14ac:dyDescent="0.3">
      <c r="C32" s="1"/>
      <c r="I32" s="4" t="s">
        <v>9</v>
      </c>
    </row>
    <row r="33" spans="1:9" x14ac:dyDescent="0.3">
      <c r="C33" s="1"/>
      <c r="I33" s="4" t="s">
        <v>9</v>
      </c>
    </row>
    <row r="34" spans="1:9" x14ac:dyDescent="0.3">
      <c r="A34" t="s">
        <v>41</v>
      </c>
      <c r="B34" s="20">
        <f>SUM(B22:B33)</f>
        <v>18</v>
      </c>
      <c r="I34" s="4" t="s">
        <v>10</v>
      </c>
    </row>
    <row r="36" spans="1:9" x14ac:dyDescent="0.3">
      <c r="A36" s="262" t="s">
        <v>43</v>
      </c>
      <c r="B36" s="262"/>
      <c r="C36" s="262"/>
      <c r="D36" s="262"/>
      <c r="E36" s="262"/>
      <c r="F36" s="262"/>
    </row>
    <row r="37" spans="1:9" x14ac:dyDescent="0.3">
      <c r="A37" s="262"/>
      <c r="B37" s="262"/>
      <c r="C37" s="262"/>
      <c r="D37" s="262"/>
      <c r="E37" s="262"/>
      <c r="F37" s="262"/>
      <c r="I37" t="s">
        <v>34</v>
      </c>
    </row>
    <row r="38" spans="1:9" x14ac:dyDescent="0.3">
      <c r="A38" t="s">
        <v>44</v>
      </c>
      <c r="B38" t="s">
        <v>28</v>
      </c>
      <c r="C38" t="s">
        <v>16</v>
      </c>
      <c r="I38" t="s">
        <v>39</v>
      </c>
    </row>
    <row r="39" spans="1:9" x14ac:dyDescent="0.3">
      <c r="I39" t="s">
        <v>40</v>
      </c>
    </row>
    <row r="41" spans="1:9" x14ac:dyDescent="0.3">
      <c r="A41" t="s">
        <v>45</v>
      </c>
      <c r="B41">
        <f>SUM(B39:B40)</f>
        <v>0</v>
      </c>
    </row>
    <row r="43" spans="1:9" x14ac:dyDescent="0.3">
      <c r="A43" s="262" t="s">
        <v>42</v>
      </c>
      <c r="B43" s="262"/>
      <c r="C43" s="262"/>
      <c r="D43" s="262"/>
      <c r="E43" s="262"/>
      <c r="F43" s="262"/>
    </row>
    <row r="44" spans="1:9" x14ac:dyDescent="0.3">
      <c r="A44" s="262"/>
      <c r="B44" s="262"/>
      <c r="C44" s="262"/>
      <c r="D44" s="262"/>
      <c r="E44" s="262"/>
      <c r="F44" s="262"/>
    </row>
    <row r="45" spans="1:9" x14ac:dyDescent="0.3">
      <c r="A45" t="s">
        <v>44</v>
      </c>
      <c r="B45" t="s">
        <v>28</v>
      </c>
      <c r="C45" t="s">
        <v>16</v>
      </c>
    </row>
    <row r="48" spans="1:9" x14ac:dyDescent="0.3">
      <c r="A48" t="s">
        <v>46</v>
      </c>
      <c r="B48">
        <f>SUM(B46:B47)</f>
        <v>0</v>
      </c>
    </row>
    <row r="50" spans="1:6" x14ac:dyDescent="0.3">
      <c r="A50" s="262" t="s">
        <v>47</v>
      </c>
      <c r="B50" s="262"/>
      <c r="C50" s="262"/>
      <c r="D50" s="262"/>
      <c r="E50" s="262"/>
      <c r="F50" s="262"/>
    </row>
    <row r="51" spans="1:6" x14ac:dyDescent="0.3">
      <c r="A51" s="262"/>
      <c r="B51" s="262"/>
      <c r="C51" s="262"/>
      <c r="D51" s="262"/>
      <c r="E51" s="262"/>
      <c r="F51" s="262"/>
    </row>
    <row r="52" spans="1:6" x14ac:dyDescent="0.3">
      <c r="A52" s="21" t="s">
        <v>14</v>
      </c>
    </row>
    <row r="53" spans="1:6" x14ac:dyDescent="0.3">
      <c r="A53" t="s">
        <v>17</v>
      </c>
      <c r="B53" s="20">
        <f>B16</f>
        <v>62.76</v>
      </c>
    </row>
    <row r="54" spans="1:6" x14ac:dyDescent="0.3">
      <c r="A54" t="s">
        <v>42</v>
      </c>
      <c r="B54">
        <f>B48</f>
        <v>0</v>
      </c>
    </row>
    <row r="55" spans="1:6" x14ac:dyDescent="0.3">
      <c r="A55" t="s">
        <v>1</v>
      </c>
      <c r="B55" s="20">
        <f>SUM(B53:B54)</f>
        <v>62.76</v>
      </c>
    </row>
    <row r="57" spans="1:6" x14ac:dyDescent="0.3">
      <c r="A57" s="21" t="s">
        <v>15</v>
      </c>
    </row>
    <row r="58" spans="1:6" x14ac:dyDescent="0.3">
      <c r="A58" t="s">
        <v>31</v>
      </c>
      <c r="B58" s="20">
        <f>B34</f>
        <v>18</v>
      </c>
    </row>
    <row r="59" spans="1:6" x14ac:dyDescent="0.3">
      <c r="A59" t="s">
        <v>43</v>
      </c>
      <c r="B59">
        <f>B41</f>
        <v>0</v>
      </c>
    </row>
    <row r="60" spans="1:6" x14ac:dyDescent="0.3">
      <c r="A60" t="s">
        <v>1</v>
      </c>
      <c r="B60" s="20">
        <f>SUM(B58:B59)</f>
        <v>18</v>
      </c>
    </row>
    <row r="61" spans="1:6" x14ac:dyDescent="0.3">
      <c r="B61" s="20"/>
    </row>
    <row r="62" spans="1:6" x14ac:dyDescent="0.3">
      <c r="A62" s="22" t="s">
        <v>48</v>
      </c>
      <c r="B62" s="23">
        <f>SUM(B55-B60)</f>
        <v>44.76</v>
      </c>
    </row>
  </sheetData>
  <mergeCells count="8">
    <mergeCell ref="A50:F51"/>
    <mergeCell ref="A1:F4"/>
    <mergeCell ref="G7:H7"/>
    <mergeCell ref="M22:N22"/>
    <mergeCell ref="A5:F6"/>
    <mergeCell ref="A19:F20"/>
    <mergeCell ref="A36:F37"/>
    <mergeCell ref="A43:F44"/>
  </mergeCells>
  <dataValidations count="5">
    <dataValidation type="list" allowBlank="1" showInputMessage="1" showErrorMessage="1" sqref="D10" xr:uid="{58ECC7FA-2F30-4DC0-AD00-D5503AD6A9CA}">
      <formula1>$I$7:$I$11</formula1>
    </dataValidation>
    <dataValidation type="list" allowBlank="1" showInputMessage="1" showErrorMessage="1" sqref="D9 D11:D14" xr:uid="{252592BA-8D6A-459B-86B1-F78BE49B3632}">
      <formula1>$I$7:$I$17</formula1>
    </dataValidation>
    <dataValidation type="list" allowBlank="1" showInputMessage="1" showErrorMessage="1" sqref="H22 M28:M29 M26 H25:H26 A22:A33" xr:uid="{B262003D-9779-4AAF-92BB-2E243D04CC05}">
      <formula1>$I$21:$I$37</formula1>
    </dataValidation>
    <dataValidation type="list" allowBlank="1" showInputMessage="1" showErrorMessage="1" sqref="E22:E33" xr:uid="{6F4F9F80-A484-41FA-9153-ED39DB9511CD}">
      <formula1>$I$38:$I$41</formula1>
    </dataValidation>
    <dataValidation type="list" allowBlank="1" showInputMessage="1" showErrorMessage="1" sqref="F22" xr:uid="{E6A4B807-E966-402B-B36E-8E2BB1AE2EE2}">
      <formula1>$I$7:$I$15</formula1>
    </dataValidation>
  </dataValidations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6086-EE54-4D76-A9B5-5BD491B0021D}">
  <dimension ref="A1:P53"/>
  <sheetViews>
    <sheetView workbookViewId="0">
      <selection activeCell="Q6" sqref="Q6"/>
    </sheetView>
  </sheetViews>
  <sheetFormatPr defaultColWidth="9.15234375" defaultRowHeight="12.5" x14ac:dyDescent="0.25"/>
  <cols>
    <col min="1" max="1" width="28.84375" style="25" customWidth="1"/>
    <col min="2" max="2" width="19" style="31" customWidth="1"/>
    <col min="3" max="3" width="3.84375" style="25" customWidth="1"/>
    <col min="4" max="4" width="15.4609375" style="25" customWidth="1"/>
    <col min="5" max="5" width="1.4609375" style="25" customWidth="1"/>
    <col min="6" max="6" width="15.4609375" style="25" customWidth="1"/>
    <col min="7" max="7" width="1.4609375" style="25" customWidth="1"/>
    <col min="8" max="8" width="15.4609375" style="25" customWidth="1"/>
    <col min="9" max="9" width="1.4609375" style="25" customWidth="1"/>
    <col min="10" max="10" width="15.4609375" style="25" customWidth="1"/>
    <col min="11" max="11" width="1.4609375" style="25" customWidth="1"/>
    <col min="12" max="12" width="14.69140625" style="25" customWidth="1"/>
    <col min="13" max="13" width="1.4609375" style="25" customWidth="1"/>
    <col min="14" max="14" width="14.69140625" style="25" customWidth="1"/>
    <col min="15" max="15" width="1.4609375" style="25" customWidth="1"/>
    <col min="16" max="16" width="14.69140625" style="25" customWidth="1"/>
    <col min="17" max="16384" width="9.15234375" style="25"/>
  </cols>
  <sheetData>
    <row r="1" spans="1:16" ht="27" customHeight="1" x14ac:dyDescent="0.4">
      <c r="B1" s="220" t="str">
        <f>'R&amp;P Accounts'!B2:J2</f>
        <v>Finlay's Friends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N1" s="220" t="str">
        <f>'R&amp;P Accounts'!L2</f>
        <v>SC046675</v>
      </c>
      <c r="O1" s="220"/>
      <c r="P1" s="220"/>
    </row>
    <row r="2" spans="1:16" s="108" customFormat="1" ht="26.25" customHeight="1" x14ac:dyDescent="0.3">
      <c r="A2" s="103" t="s">
        <v>101</v>
      </c>
      <c r="B2" s="104"/>
      <c r="C2" s="105"/>
      <c r="D2" s="105"/>
      <c r="E2" s="105"/>
      <c r="F2" s="221"/>
      <c r="G2" s="221"/>
      <c r="H2" s="221"/>
      <c r="I2" s="106"/>
      <c r="J2" s="106"/>
      <c r="K2" s="106"/>
      <c r="L2" s="107"/>
      <c r="M2" s="106"/>
      <c r="N2" s="107"/>
      <c r="O2" s="106"/>
      <c r="P2" s="107"/>
    </row>
    <row r="3" spans="1:16" ht="40.5" customHeight="1" x14ac:dyDescent="0.3">
      <c r="A3" s="109" t="s">
        <v>102</v>
      </c>
      <c r="B3" s="222" t="s">
        <v>103</v>
      </c>
      <c r="C3" s="222"/>
      <c r="D3" s="222"/>
      <c r="E3" s="110"/>
      <c r="F3" s="111" t="s">
        <v>104</v>
      </c>
      <c r="G3" s="84"/>
      <c r="H3" s="111" t="s">
        <v>105</v>
      </c>
      <c r="I3" s="112"/>
      <c r="J3" s="111" t="s">
        <v>61</v>
      </c>
      <c r="K3" s="112"/>
      <c r="L3" s="111" t="s">
        <v>106</v>
      </c>
      <c r="M3" s="112"/>
      <c r="N3" s="111" t="s">
        <v>107</v>
      </c>
      <c r="O3" s="112"/>
      <c r="P3" s="111" t="s">
        <v>108</v>
      </c>
    </row>
    <row r="4" spans="1:16" x14ac:dyDescent="0.25">
      <c r="B4" s="223"/>
      <c r="C4" s="223"/>
      <c r="D4" s="223"/>
      <c r="E4" s="113"/>
      <c r="F4" s="114" t="s">
        <v>65</v>
      </c>
      <c r="H4" s="114" t="s">
        <v>65</v>
      </c>
      <c r="I4" s="115"/>
      <c r="J4" s="114" t="s">
        <v>65</v>
      </c>
      <c r="K4" s="115"/>
      <c r="L4" s="114" t="s">
        <v>65</v>
      </c>
      <c r="M4" s="115"/>
      <c r="N4" s="114" t="s">
        <v>65</v>
      </c>
      <c r="O4" s="115"/>
      <c r="P4" s="114" t="s">
        <v>65</v>
      </c>
    </row>
    <row r="5" spans="1:16" ht="30" customHeight="1" x14ac:dyDescent="0.25">
      <c r="A5" s="224" t="s">
        <v>109</v>
      </c>
      <c r="B5" s="226" t="s">
        <v>110</v>
      </c>
      <c r="C5" s="226"/>
      <c r="D5" s="226"/>
      <c r="E5" s="116"/>
      <c r="F5" s="117">
        <v>65863</v>
      </c>
      <c r="G5" s="118"/>
      <c r="H5" s="117">
        <v>0</v>
      </c>
      <c r="I5" s="118"/>
      <c r="J5" s="117">
        <v>0</v>
      </c>
      <c r="K5" s="118"/>
      <c r="L5" s="117">
        <v>0</v>
      </c>
      <c r="M5" s="118"/>
      <c r="N5" s="119">
        <f>F5+H5+J5+L5</f>
        <v>65863</v>
      </c>
      <c r="O5" s="118"/>
      <c r="P5" s="117">
        <v>65828</v>
      </c>
    </row>
    <row r="6" spans="1:16" ht="30" customHeight="1" x14ac:dyDescent="0.25">
      <c r="A6" s="225"/>
      <c r="B6" s="226" t="s">
        <v>111</v>
      </c>
      <c r="C6" s="226"/>
      <c r="D6" s="226"/>
      <c r="E6" s="116"/>
      <c r="F6" s="117">
        <v>3334</v>
      </c>
      <c r="G6" s="118"/>
      <c r="H6" s="117">
        <v>0</v>
      </c>
      <c r="I6" s="118"/>
      <c r="J6" s="117">
        <v>0</v>
      </c>
      <c r="K6" s="118"/>
      <c r="L6" s="117">
        <v>0</v>
      </c>
      <c r="M6" s="118"/>
      <c r="N6" s="119">
        <f>F6+H6+J6+L6</f>
        <v>3334</v>
      </c>
      <c r="O6" s="118"/>
      <c r="P6" s="117">
        <v>35</v>
      </c>
    </row>
    <row r="7" spans="1:16" ht="26.25" customHeight="1" x14ac:dyDescent="0.25">
      <c r="A7" s="225"/>
      <c r="B7" s="227"/>
      <c r="C7" s="228"/>
      <c r="D7" s="229"/>
      <c r="E7" s="116"/>
      <c r="F7" s="120"/>
      <c r="G7" s="118"/>
      <c r="H7" s="120"/>
      <c r="I7" s="118"/>
      <c r="J7" s="120"/>
      <c r="K7" s="118"/>
      <c r="L7" s="120"/>
      <c r="M7" s="118"/>
      <c r="N7" s="119">
        <f>F7+H7+J7+L7</f>
        <v>0</v>
      </c>
      <c r="O7" s="118"/>
      <c r="P7" s="120"/>
    </row>
    <row r="8" spans="1:16" ht="26.25" customHeight="1" thickBot="1" x14ac:dyDescent="0.3">
      <c r="A8" s="225"/>
      <c r="B8" s="226"/>
      <c r="C8" s="226"/>
      <c r="D8" s="226"/>
      <c r="E8" s="116"/>
      <c r="F8" s="121"/>
      <c r="G8" s="118"/>
      <c r="H8" s="121"/>
      <c r="I8" s="118"/>
      <c r="J8" s="121"/>
      <c r="K8" s="118"/>
      <c r="L8" s="121"/>
      <c r="M8" s="118"/>
      <c r="N8" s="122">
        <f>F8+H8+J8+L8</f>
        <v>0</v>
      </c>
      <c r="O8" s="118"/>
      <c r="P8" s="121"/>
    </row>
    <row r="9" spans="1:16" ht="30" customHeight="1" thickTop="1" thickBot="1" x14ac:dyDescent="0.3">
      <c r="B9" s="230" t="s">
        <v>112</v>
      </c>
      <c r="C9" s="230"/>
      <c r="D9" s="230"/>
      <c r="E9" s="123"/>
      <c r="F9" s="124">
        <f>SUM(F5:F8)</f>
        <v>69197</v>
      </c>
      <c r="G9" s="125"/>
      <c r="H9" s="124">
        <f>SUM(H5:H8)</f>
        <v>0</v>
      </c>
      <c r="I9" s="126"/>
      <c r="J9" s="124">
        <f>SUM(J5:J8)</f>
        <v>0</v>
      </c>
      <c r="K9" s="126"/>
      <c r="L9" s="124">
        <f>SUM(L5:L8)</f>
        <v>0</v>
      </c>
      <c r="M9" s="231"/>
      <c r="N9" s="127">
        <f>F9+H9+J9+L9</f>
        <v>69197</v>
      </c>
      <c r="O9" s="231"/>
      <c r="P9" s="124">
        <f>SUM(P5:P8)</f>
        <v>65863</v>
      </c>
    </row>
    <row r="10" spans="1:16" ht="26.25" customHeight="1" thickTop="1" x14ac:dyDescent="0.3">
      <c r="B10" s="232" t="s">
        <v>113</v>
      </c>
      <c r="C10" s="232"/>
      <c r="D10" s="232"/>
      <c r="E10" s="128"/>
      <c r="F10" s="129">
        <f>F6-'[2]R&amp;P Accounts'!B55</f>
        <v>3334</v>
      </c>
      <c r="G10" s="126"/>
      <c r="H10" s="129">
        <f>H6-'[2]R&amp;P Accounts'!D55</f>
        <v>0</v>
      </c>
      <c r="I10" s="126"/>
      <c r="J10" s="129">
        <f>J6-'[2]R&amp;P Accounts'!F55</f>
        <v>0</v>
      </c>
      <c r="K10" s="126"/>
      <c r="L10" s="129">
        <f>L6-'[2]R&amp;P Accounts'!H55</f>
        <v>0</v>
      </c>
      <c r="M10" s="231"/>
      <c r="N10" s="129">
        <f>N6-'[2]R&amp;P Accounts'!J55</f>
        <v>3334</v>
      </c>
      <c r="O10" s="231"/>
      <c r="P10" s="129">
        <f>P6-'[2]R&amp;P Accounts'!L55</f>
        <v>35</v>
      </c>
    </row>
    <row r="11" spans="1:16" x14ac:dyDescent="0.25">
      <c r="B11" s="233"/>
      <c r="C11" s="233"/>
      <c r="D11" s="233"/>
      <c r="E11" s="130"/>
      <c r="G11" s="234"/>
      <c r="I11" s="234"/>
      <c r="J11" s="115"/>
      <c r="K11" s="115"/>
      <c r="M11" s="234"/>
      <c r="O11" s="234"/>
    </row>
    <row r="12" spans="1:16" ht="30.75" customHeight="1" x14ac:dyDescent="0.3">
      <c r="B12" s="235" t="s">
        <v>114</v>
      </c>
      <c r="C12" s="235"/>
      <c r="D12" s="235"/>
      <c r="E12" s="131"/>
      <c r="G12" s="234"/>
      <c r="H12" s="132"/>
      <c r="I12" s="234"/>
      <c r="J12" s="236" t="s">
        <v>115</v>
      </c>
      <c r="K12" s="236"/>
      <c r="L12" s="236"/>
      <c r="M12" s="234"/>
      <c r="N12" s="132" t="s">
        <v>116</v>
      </c>
      <c r="O12" s="234"/>
      <c r="P12" s="132" t="s">
        <v>117</v>
      </c>
    </row>
    <row r="13" spans="1:16" s="133" customFormat="1" ht="13" x14ac:dyDescent="0.3">
      <c r="B13" s="237"/>
      <c r="C13" s="237"/>
      <c r="D13" s="237"/>
      <c r="E13" s="134"/>
      <c r="F13" s="135"/>
      <c r="H13" s="135"/>
      <c r="I13" s="136"/>
      <c r="J13" s="136"/>
      <c r="K13" s="136"/>
      <c r="M13" s="136"/>
      <c r="N13" s="114" t="s">
        <v>65</v>
      </c>
      <c r="O13" s="115"/>
      <c r="P13" s="114" t="s">
        <v>65</v>
      </c>
    </row>
    <row r="14" spans="1:16" ht="20" customHeight="1" x14ac:dyDescent="0.3">
      <c r="A14" s="224" t="s">
        <v>118</v>
      </c>
      <c r="B14" s="238"/>
      <c r="C14" s="238"/>
      <c r="D14" s="238"/>
      <c r="E14" s="137"/>
      <c r="G14" s="234"/>
      <c r="I14" s="115"/>
      <c r="J14" s="239"/>
      <c r="K14" s="240"/>
      <c r="L14" s="241"/>
      <c r="M14" s="110"/>
      <c r="N14" s="138"/>
      <c r="O14" s="126"/>
      <c r="P14" s="138"/>
    </row>
    <row r="15" spans="1:16" ht="20" customHeight="1" x14ac:dyDescent="0.3">
      <c r="A15" s="225"/>
      <c r="B15" s="238"/>
      <c r="C15" s="238"/>
      <c r="D15" s="238"/>
      <c r="E15" s="137"/>
      <c r="G15" s="234"/>
      <c r="H15" s="132"/>
      <c r="I15" s="115"/>
      <c r="J15" s="239"/>
      <c r="K15" s="240"/>
      <c r="L15" s="241"/>
      <c r="M15" s="110"/>
      <c r="N15" s="138"/>
      <c r="O15" s="126"/>
      <c r="P15" s="138"/>
    </row>
    <row r="16" spans="1:16" ht="20" customHeight="1" x14ac:dyDescent="0.3">
      <c r="A16" s="225"/>
      <c r="B16" s="238"/>
      <c r="C16" s="238"/>
      <c r="D16" s="238"/>
      <c r="E16" s="137"/>
      <c r="F16" s="115"/>
      <c r="G16" s="115"/>
      <c r="H16" s="139"/>
      <c r="I16" s="115"/>
      <c r="J16" s="239"/>
      <c r="K16" s="240"/>
      <c r="L16" s="241"/>
      <c r="M16" s="110"/>
      <c r="N16" s="138"/>
      <c r="O16" s="126"/>
      <c r="P16" s="138"/>
    </row>
    <row r="17" spans="1:16" ht="20" customHeight="1" x14ac:dyDescent="0.3">
      <c r="A17" s="225"/>
      <c r="B17" s="238"/>
      <c r="C17" s="238"/>
      <c r="D17" s="238"/>
      <c r="E17" s="137"/>
      <c r="F17" s="115"/>
      <c r="G17" s="115"/>
      <c r="H17" s="139"/>
      <c r="I17" s="115"/>
      <c r="J17" s="239"/>
      <c r="K17" s="240"/>
      <c r="L17" s="241"/>
      <c r="M17" s="110"/>
      <c r="N17" s="138"/>
      <c r="O17" s="126"/>
      <c r="P17" s="138"/>
    </row>
    <row r="18" spans="1:16" ht="20" customHeight="1" thickBot="1" x14ac:dyDescent="0.35">
      <c r="A18" s="225"/>
      <c r="B18" s="238"/>
      <c r="C18" s="238"/>
      <c r="D18" s="238"/>
      <c r="E18" s="137"/>
      <c r="F18" s="115"/>
      <c r="G18" s="115"/>
      <c r="H18" s="139"/>
      <c r="I18" s="115"/>
      <c r="J18" s="239"/>
      <c r="K18" s="240"/>
      <c r="L18" s="241"/>
      <c r="M18" s="110"/>
      <c r="N18" s="140"/>
      <c r="O18" s="126"/>
      <c r="P18" s="140"/>
    </row>
    <row r="19" spans="1:16" ht="20" customHeight="1" thickBot="1" x14ac:dyDescent="0.3">
      <c r="A19" s="141"/>
      <c r="B19" s="142"/>
      <c r="C19" s="142"/>
      <c r="D19" s="142"/>
      <c r="E19" s="137"/>
      <c r="F19" s="115"/>
      <c r="G19" s="115"/>
      <c r="H19" s="139"/>
      <c r="I19" s="115"/>
      <c r="K19" s="115"/>
      <c r="L19" s="143" t="s">
        <v>119</v>
      </c>
      <c r="M19" s="110"/>
      <c r="N19" s="144">
        <f>SUM(N14:N18)</f>
        <v>0</v>
      </c>
      <c r="O19" s="126"/>
      <c r="P19" s="144">
        <f>SUM(P14:P18)</f>
        <v>0</v>
      </c>
    </row>
    <row r="20" spans="1:16" x14ac:dyDescent="0.25">
      <c r="B20" s="242"/>
      <c r="C20" s="242"/>
      <c r="D20" s="242"/>
      <c r="E20" s="115"/>
      <c r="G20" s="115"/>
      <c r="I20" s="115"/>
      <c r="J20" s="115"/>
      <c r="K20" s="115"/>
      <c r="L20" s="114"/>
      <c r="M20" s="115"/>
      <c r="N20" s="114"/>
      <c r="O20" s="115"/>
      <c r="P20" s="114"/>
    </row>
    <row r="21" spans="1:16" ht="27" customHeight="1" x14ac:dyDescent="0.3">
      <c r="B21" s="235" t="s">
        <v>114</v>
      </c>
      <c r="C21" s="235"/>
      <c r="D21" s="235"/>
      <c r="E21" s="145"/>
      <c r="G21" s="115"/>
      <c r="H21" s="236" t="s">
        <v>115</v>
      </c>
      <c r="I21" s="236"/>
      <c r="J21" s="236"/>
      <c r="K21" s="115"/>
      <c r="L21" s="132" t="s">
        <v>120</v>
      </c>
      <c r="M21" s="115"/>
      <c r="N21" s="132" t="s">
        <v>121</v>
      </c>
      <c r="O21" s="115"/>
      <c r="P21" s="132" t="s">
        <v>117</v>
      </c>
    </row>
    <row r="22" spans="1:16" s="133" customFormat="1" ht="13" x14ac:dyDescent="0.3">
      <c r="B22" s="237"/>
      <c r="C22" s="237"/>
      <c r="D22" s="237"/>
      <c r="E22" s="134"/>
      <c r="I22" s="136"/>
      <c r="J22" s="135"/>
      <c r="K22" s="136"/>
      <c r="L22" s="114" t="s">
        <v>65</v>
      </c>
      <c r="M22" s="115"/>
      <c r="N22" s="114" t="s">
        <v>65</v>
      </c>
      <c r="O22" s="115"/>
      <c r="P22" s="114" t="s">
        <v>65</v>
      </c>
    </row>
    <row r="23" spans="1:16" ht="20" customHeight="1" x14ac:dyDescent="0.3">
      <c r="A23" s="224" t="s">
        <v>122</v>
      </c>
      <c r="B23" s="238"/>
      <c r="C23" s="238"/>
      <c r="D23" s="238"/>
      <c r="E23" s="137"/>
      <c r="G23" s="115"/>
      <c r="H23" s="243"/>
      <c r="I23" s="244"/>
      <c r="J23" s="245"/>
      <c r="K23" s="110"/>
      <c r="L23" s="138"/>
      <c r="M23" s="126"/>
      <c r="N23" s="138"/>
      <c r="O23" s="126"/>
      <c r="P23" s="138"/>
    </row>
    <row r="24" spans="1:16" ht="20" customHeight="1" x14ac:dyDescent="0.3">
      <c r="A24" s="225"/>
      <c r="B24" s="238"/>
      <c r="C24" s="238"/>
      <c r="D24" s="238"/>
      <c r="E24" s="137"/>
      <c r="G24" s="115"/>
      <c r="H24" s="243"/>
      <c r="I24" s="244"/>
      <c r="J24" s="245"/>
      <c r="K24" s="110"/>
      <c r="L24" s="138"/>
      <c r="M24" s="126"/>
      <c r="N24" s="138"/>
      <c r="O24" s="126"/>
      <c r="P24" s="138"/>
    </row>
    <row r="25" spans="1:16" ht="20" customHeight="1" x14ac:dyDescent="0.3">
      <c r="A25" s="225"/>
      <c r="B25" s="238"/>
      <c r="C25" s="238"/>
      <c r="D25" s="238"/>
      <c r="E25" s="137"/>
      <c r="G25" s="115"/>
      <c r="H25" s="243"/>
      <c r="I25" s="244"/>
      <c r="J25" s="245"/>
      <c r="K25" s="110"/>
      <c r="L25" s="138"/>
      <c r="M25" s="126"/>
      <c r="N25" s="138"/>
      <c r="O25" s="126"/>
      <c r="P25" s="138"/>
    </row>
    <row r="26" spans="1:16" ht="20" customHeight="1" x14ac:dyDescent="0.3">
      <c r="A26" s="225"/>
      <c r="B26" s="238"/>
      <c r="C26" s="238"/>
      <c r="D26" s="238"/>
      <c r="E26" s="137"/>
      <c r="G26" s="115"/>
      <c r="H26" s="243"/>
      <c r="I26" s="244"/>
      <c r="J26" s="245"/>
      <c r="K26" s="110"/>
      <c r="L26" s="138"/>
      <c r="M26" s="126"/>
      <c r="N26" s="138"/>
      <c r="O26" s="126"/>
      <c r="P26" s="138"/>
    </row>
    <row r="27" spans="1:16" ht="20" customHeight="1" x14ac:dyDescent="0.3">
      <c r="A27" s="225"/>
      <c r="B27" s="238"/>
      <c r="C27" s="238"/>
      <c r="D27" s="238"/>
      <c r="E27" s="137"/>
      <c r="G27" s="115"/>
      <c r="H27" s="243"/>
      <c r="I27" s="244"/>
      <c r="J27" s="245"/>
      <c r="K27" s="110"/>
      <c r="L27" s="138"/>
      <c r="M27" s="126"/>
      <c r="N27" s="138"/>
      <c r="O27" s="126"/>
      <c r="P27" s="138"/>
    </row>
    <row r="28" spans="1:16" ht="20" customHeight="1" x14ac:dyDescent="0.3">
      <c r="A28" s="225"/>
      <c r="B28" s="238"/>
      <c r="C28" s="238"/>
      <c r="D28" s="238"/>
      <c r="E28" s="137"/>
      <c r="G28" s="115"/>
      <c r="H28" s="243"/>
      <c r="I28" s="244"/>
      <c r="J28" s="245"/>
      <c r="K28" s="110"/>
      <c r="L28" s="138"/>
      <c r="M28" s="126"/>
      <c r="N28" s="138"/>
      <c r="O28" s="126"/>
      <c r="P28" s="138"/>
    </row>
    <row r="29" spans="1:16" ht="20" customHeight="1" x14ac:dyDescent="0.3">
      <c r="A29" s="225"/>
      <c r="B29" s="238"/>
      <c r="C29" s="238"/>
      <c r="D29" s="238"/>
      <c r="E29" s="137"/>
      <c r="G29" s="115"/>
      <c r="H29" s="243"/>
      <c r="I29" s="244"/>
      <c r="J29" s="245"/>
      <c r="K29" s="110"/>
      <c r="L29" s="138"/>
      <c r="M29" s="126"/>
      <c r="N29" s="138"/>
      <c r="O29" s="126"/>
      <c r="P29" s="138"/>
    </row>
    <row r="30" spans="1:16" ht="20" customHeight="1" x14ac:dyDescent="0.3">
      <c r="A30" s="225"/>
      <c r="B30" s="238"/>
      <c r="C30" s="238"/>
      <c r="D30" s="238"/>
      <c r="E30" s="137"/>
      <c r="G30" s="115"/>
      <c r="H30" s="243"/>
      <c r="I30" s="244"/>
      <c r="J30" s="245"/>
      <c r="K30" s="110"/>
      <c r="L30" s="138"/>
      <c r="M30" s="126"/>
      <c r="N30" s="138"/>
      <c r="O30" s="126"/>
      <c r="P30" s="138"/>
    </row>
    <row r="31" spans="1:16" ht="20" customHeight="1" thickBot="1" x14ac:dyDescent="0.35">
      <c r="A31" s="225"/>
      <c r="B31" s="238"/>
      <c r="C31" s="238"/>
      <c r="D31" s="238"/>
      <c r="E31" s="137"/>
      <c r="G31" s="115"/>
      <c r="H31" s="243"/>
      <c r="I31" s="244"/>
      <c r="J31" s="245"/>
      <c r="K31" s="110"/>
      <c r="L31" s="140"/>
      <c r="M31" s="126"/>
      <c r="N31" s="140"/>
      <c r="O31" s="126"/>
      <c r="P31" s="140"/>
    </row>
    <row r="32" spans="1:16" ht="20" customHeight="1" thickBot="1" x14ac:dyDescent="0.3">
      <c r="A32" s="141"/>
      <c r="B32" s="142"/>
      <c r="C32" s="142"/>
      <c r="D32" s="142"/>
      <c r="E32" s="137"/>
      <c r="G32" s="115"/>
      <c r="I32" s="115"/>
      <c r="J32" s="111" t="s">
        <v>1</v>
      </c>
      <c r="K32" s="115"/>
      <c r="L32" s="144">
        <f>SUM(L23:L31)</f>
        <v>0</v>
      </c>
      <c r="M32" s="126"/>
      <c r="N32" s="144">
        <f>SUM(N23:N31)</f>
        <v>0</v>
      </c>
      <c r="O32" s="126"/>
      <c r="P32" s="144">
        <f>SUM(P23:P31)</f>
        <v>0</v>
      </c>
    </row>
    <row r="33" spans="1:16" ht="10.5" customHeight="1" x14ac:dyDescent="0.25">
      <c r="B33" s="233"/>
      <c r="C33" s="233"/>
      <c r="D33" s="233"/>
      <c r="E33" s="246"/>
      <c r="G33" s="246"/>
      <c r="H33" s="114"/>
      <c r="I33" s="234"/>
      <c r="J33" s="115"/>
      <c r="K33" s="115"/>
      <c r="L33" s="146"/>
      <c r="M33" s="234"/>
      <c r="N33" s="146"/>
      <c r="O33" s="247"/>
      <c r="P33" s="146"/>
    </row>
    <row r="34" spans="1:16" ht="19.5" customHeight="1" x14ac:dyDescent="0.3">
      <c r="B34" s="235" t="s">
        <v>114</v>
      </c>
      <c r="C34" s="235"/>
      <c r="D34" s="235"/>
      <c r="E34" s="246"/>
      <c r="G34" s="246"/>
      <c r="H34" s="114"/>
      <c r="I34" s="234"/>
      <c r="J34" s="236" t="s">
        <v>123</v>
      </c>
      <c r="K34" s="236"/>
      <c r="L34" s="236"/>
      <c r="M34" s="234"/>
      <c r="N34" s="132" t="s">
        <v>124</v>
      </c>
      <c r="O34" s="247"/>
      <c r="P34" s="132" t="s">
        <v>117</v>
      </c>
    </row>
    <row r="35" spans="1:16" s="133" customFormat="1" ht="13" x14ac:dyDescent="0.3">
      <c r="B35" s="237"/>
      <c r="C35" s="237"/>
      <c r="D35" s="237"/>
      <c r="E35" s="134"/>
      <c r="F35" s="25"/>
      <c r="H35" s="135"/>
      <c r="I35" s="136"/>
      <c r="J35" s="136"/>
      <c r="K35" s="136"/>
      <c r="M35" s="136"/>
      <c r="N35" s="114" t="s">
        <v>65</v>
      </c>
      <c r="O35" s="115"/>
      <c r="P35" s="114" t="s">
        <v>65</v>
      </c>
    </row>
    <row r="36" spans="1:16" ht="20" customHeight="1" x14ac:dyDescent="0.3">
      <c r="A36" s="224" t="s">
        <v>125</v>
      </c>
      <c r="B36" s="238"/>
      <c r="C36" s="238"/>
      <c r="D36" s="238"/>
      <c r="E36" s="137"/>
      <c r="G36" s="115"/>
      <c r="H36" s="114"/>
      <c r="I36" s="115"/>
      <c r="J36" s="248"/>
      <c r="K36" s="249"/>
      <c r="L36" s="250"/>
      <c r="M36" s="115"/>
      <c r="N36" s="147"/>
      <c r="O36" s="92"/>
      <c r="P36" s="147"/>
    </row>
    <row r="37" spans="1:16" ht="20" customHeight="1" x14ac:dyDescent="0.3">
      <c r="A37" s="225"/>
      <c r="B37" s="238"/>
      <c r="C37" s="238"/>
      <c r="D37" s="238"/>
      <c r="E37" s="137"/>
      <c r="G37" s="115"/>
      <c r="H37" s="114"/>
      <c r="I37" s="115"/>
      <c r="J37" s="248"/>
      <c r="K37" s="249"/>
      <c r="L37" s="250"/>
      <c r="M37" s="115"/>
      <c r="N37" s="147"/>
      <c r="O37" s="92"/>
      <c r="P37" s="147"/>
    </row>
    <row r="38" spans="1:16" ht="20" customHeight="1" x14ac:dyDescent="0.3">
      <c r="A38" s="225"/>
      <c r="B38" s="238"/>
      <c r="C38" s="238"/>
      <c r="D38" s="238"/>
      <c r="E38" s="137"/>
      <c r="G38" s="115"/>
      <c r="H38" s="114"/>
      <c r="I38" s="115"/>
      <c r="J38" s="248"/>
      <c r="K38" s="249"/>
      <c r="L38" s="250"/>
      <c r="M38" s="115"/>
      <c r="N38" s="147"/>
      <c r="O38" s="92"/>
      <c r="P38" s="147"/>
    </row>
    <row r="39" spans="1:16" ht="20" customHeight="1" x14ac:dyDescent="0.3">
      <c r="A39" s="225"/>
      <c r="B39" s="238"/>
      <c r="C39" s="238"/>
      <c r="D39" s="238"/>
      <c r="E39" s="137"/>
      <c r="G39" s="115"/>
      <c r="H39" s="114"/>
      <c r="I39" s="115"/>
      <c r="J39" s="248"/>
      <c r="K39" s="249"/>
      <c r="L39" s="250"/>
      <c r="M39" s="115"/>
      <c r="N39" s="147"/>
      <c r="O39" s="92"/>
      <c r="P39" s="147"/>
    </row>
    <row r="40" spans="1:16" ht="20" customHeight="1" thickBot="1" x14ac:dyDescent="0.35">
      <c r="A40" s="225"/>
      <c r="B40" s="238"/>
      <c r="C40" s="238"/>
      <c r="D40" s="238"/>
      <c r="E40" s="137"/>
      <c r="G40" s="115"/>
      <c r="H40" s="114"/>
      <c r="I40" s="115"/>
      <c r="J40" s="248"/>
      <c r="K40" s="249"/>
      <c r="L40" s="250"/>
      <c r="M40" s="115"/>
      <c r="N40" s="148"/>
      <c r="O40" s="92"/>
      <c r="P40" s="148"/>
    </row>
    <row r="41" spans="1:16" ht="20" customHeight="1" thickBot="1" x14ac:dyDescent="0.3">
      <c r="A41" s="141"/>
      <c r="B41" s="142"/>
      <c r="C41" s="142"/>
      <c r="D41" s="142"/>
      <c r="E41" s="137"/>
      <c r="G41" s="115"/>
      <c r="H41" s="114"/>
      <c r="I41" s="115"/>
      <c r="K41" s="115"/>
      <c r="L41" s="111" t="s">
        <v>1</v>
      </c>
      <c r="M41" s="115"/>
      <c r="N41" s="149">
        <f>SUM(N36:N40)</f>
        <v>0</v>
      </c>
      <c r="O41" s="92"/>
      <c r="P41" s="149">
        <f>SUM(P36:P40)</f>
        <v>0</v>
      </c>
    </row>
    <row r="42" spans="1:16" x14ac:dyDescent="0.25">
      <c r="A42" s="150"/>
      <c r="B42" s="151"/>
      <c r="C42" s="115"/>
      <c r="D42" s="115"/>
      <c r="E42" s="115"/>
      <c r="F42" s="115"/>
      <c r="G42" s="115"/>
      <c r="H42" s="115"/>
      <c r="I42" s="115"/>
      <c r="J42" s="115"/>
      <c r="K42" s="115"/>
      <c r="M42" s="115"/>
      <c r="O42" s="115"/>
    </row>
    <row r="43" spans="1:16" ht="23" x14ac:dyDescent="0.3">
      <c r="B43" s="235" t="s">
        <v>114</v>
      </c>
      <c r="C43" s="235"/>
      <c r="D43" s="235"/>
      <c r="E43" s="115"/>
      <c r="G43" s="115"/>
      <c r="H43" s="115"/>
      <c r="I43" s="115"/>
      <c r="J43" s="236" t="s">
        <v>123</v>
      </c>
      <c r="K43" s="236"/>
      <c r="L43" s="236"/>
      <c r="M43" s="115"/>
      <c r="N43" s="114" t="s">
        <v>126</v>
      </c>
      <c r="O43" s="115"/>
      <c r="P43" s="132" t="s">
        <v>117</v>
      </c>
    </row>
    <row r="44" spans="1:16" s="133" customFormat="1" ht="13" x14ac:dyDescent="0.3">
      <c r="B44" s="237"/>
      <c r="C44" s="237"/>
      <c r="D44" s="237"/>
      <c r="E44" s="134"/>
      <c r="F44" s="135"/>
      <c r="H44" s="135"/>
      <c r="I44" s="136"/>
      <c r="J44" s="136"/>
      <c r="K44" s="136"/>
      <c r="L44" s="135"/>
      <c r="M44" s="136"/>
      <c r="N44" s="114" t="s">
        <v>65</v>
      </c>
      <c r="O44" s="115"/>
      <c r="P44" s="114" t="s">
        <v>65</v>
      </c>
    </row>
    <row r="45" spans="1:16" ht="20" customHeight="1" x14ac:dyDescent="0.3">
      <c r="A45" s="224" t="s">
        <v>127</v>
      </c>
      <c r="B45" s="238"/>
      <c r="C45" s="238"/>
      <c r="D45" s="238"/>
      <c r="E45" s="137"/>
      <c r="G45" s="115"/>
      <c r="H45" s="115"/>
      <c r="I45" s="115"/>
      <c r="J45" s="248"/>
      <c r="K45" s="249"/>
      <c r="L45" s="250"/>
      <c r="M45" s="115"/>
      <c r="N45" s="152"/>
      <c r="O45" s="126"/>
      <c r="P45" s="152"/>
    </row>
    <row r="46" spans="1:16" ht="20" customHeight="1" x14ac:dyDescent="0.3">
      <c r="A46" s="225"/>
      <c r="B46" s="238"/>
      <c r="C46" s="238"/>
      <c r="D46" s="238"/>
      <c r="E46" s="137"/>
      <c r="G46" s="115"/>
      <c r="H46" s="115"/>
      <c r="I46" s="115"/>
      <c r="J46" s="248"/>
      <c r="K46" s="249"/>
      <c r="L46" s="250"/>
      <c r="M46" s="115"/>
      <c r="N46" s="152"/>
      <c r="O46" s="126"/>
      <c r="P46" s="152"/>
    </row>
    <row r="47" spans="1:16" ht="20" customHeight="1" thickBot="1" x14ac:dyDescent="0.35">
      <c r="A47" s="225"/>
      <c r="B47" s="238"/>
      <c r="C47" s="238"/>
      <c r="D47" s="238"/>
      <c r="E47" s="137"/>
      <c r="G47" s="115"/>
      <c r="H47" s="115"/>
      <c r="I47" s="115"/>
      <c r="J47" s="248"/>
      <c r="K47" s="249"/>
      <c r="L47" s="250"/>
      <c r="M47" s="115"/>
      <c r="N47" s="153"/>
      <c r="O47" s="126"/>
      <c r="P47" s="153"/>
    </row>
    <row r="48" spans="1:16" ht="20" customHeight="1" thickBot="1" x14ac:dyDescent="0.3">
      <c r="A48" s="141"/>
      <c r="B48" s="142"/>
      <c r="C48" s="142"/>
      <c r="D48" s="142"/>
      <c r="E48" s="137"/>
      <c r="G48" s="115"/>
      <c r="H48" s="115"/>
      <c r="I48" s="115"/>
      <c r="K48" s="115"/>
      <c r="L48" s="111" t="s">
        <v>1</v>
      </c>
      <c r="M48" s="115"/>
      <c r="N48" s="144">
        <f>SUM(N45:N47)</f>
        <v>0</v>
      </c>
      <c r="O48" s="126"/>
      <c r="P48" s="144">
        <f>SUM(P45:P47)</f>
        <v>0</v>
      </c>
    </row>
    <row r="49" spans="1:16" x14ac:dyDescent="0.25">
      <c r="A49" s="150"/>
      <c r="B49" s="151"/>
      <c r="C49" s="115"/>
      <c r="D49" s="115"/>
      <c r="E49" s="115"/>
      <c r="F49" s="115"/>
      <c r="G49" s="115"/>
      <c r="H49" s="115"/>
      <c r="I49" s="115"/>
      <c r="J49" s="115"/>
      <c r="K49" s="115"/>
      <c r="M49" s="115"/>
      <c r="O49" s="115"/>
    </row>
    <row r="50" spans="1:16" ht="40.5" customHeight="1" x14ac:dyDescent="0.3">
      <c r="A50" s="154" t="s">
        <v>128</v>
      </c>
      <c r="B50" s="251" t="s">
        <v>129</v>
      </c>
      <c r="C50" s="251"/>
      <c r="D50" s="251"/>
      <c r="E50" s="251"/>
      <c r="F50" s="251"/>
      <c r="G50" s="155"/>
      <c r="H50" s="252" t="s">
        <v>130</v>
      </c>
      <c r="I50" s="252"/>
      <c r="J50" s="252"/>
      <c r="K50" s="252"/>
      <c r="L50" s="252"/>
      <c r="M50" s="156"/>
      <c r="N50" s="156"/>
      <c r="O50" s="157"/>
      <c r="P50" s="158" t="s">
        <v>131</v>
      </c>
    </row>
    <row r="51" spans="1:16" ht="33.75" customHeight="1" x14ac:dyDescent="0.3">
      <c r="A51" s="159"/>
      <c r="B51" s="253"/>
      <c r="C51" s="254"/>
      <c r="D51" s="254"/>
      <c r="E51" s="254"/>
      <c r="F51" s="255"/>
      <c r="G51" s="160"/>
      <c r="H51" s="253"/>
      <c r="I51" s="254"/>
      <c r="J51" s="254"/>
      <c r="K51" s="254"/>
      <c r="L51" s="254"/>
      <c r="M51" s="254"/>
      <c r="N51" s="255"/>
      <c r="P51" s="161"/>
    </row>
    <row r="52" spans="1:16" ht="33.75" customHeight="1" x14ac:dyDescent="0.3">
      <c r="A52" s="159"/>
      <c r="B52" s="256"/>
      <c r="C52" s="257"/>
      <c r="D52" s="257"/>
      <c r="E52" s="257"/>
      <c r="F52" s="258"/>
      <c r="G52" s="160"/>
      <c r="H52" s="259"/>
      <c r="I52" s="260"/>
      <c r="J52" s="260"/>
      <c r="K52" s="260"/>
      <c r="L52" s="260"/>
      <c r="M52" s="260"/>
      <c r="N52" s="261"/>
      <c r="P52" s="162"/>
    </row>
    <row r="53" spans="1:16" ht="14" x14ac:dyDescent="0.25">
      <c r="F53" s="160"/>
      <c r="G53" s="160"/>
    </row>
  </sheetData>
  <mergeCells count="93">
    <mergeCell ref="B50:F50"/>
    <mergeCell ref="H50:L50"/>
    <mergeCell ref="B51:F51"/>
    <mergeCell ref="H51:N51"/>
    <mergeCell ref="B52:F52"/>
    <mergeCell ref="H52:N52"/>
    <mergeCell ref="B43:D43"/>
    <mergeCell ref="J43:L43"/>
    <mergeCell ref="B44:D44"/>
    <mergeCell ref="A45:A47"/>
    <mergeCell ref="B45:D45"/>
    <mergeCell ref="J45:L45"/>
    <mergeCell ref="B46:D46"/>
    <mergeCell ref="J46:L46"/>
    <mergeCell ref="B47:D47"/>
    <mergeCell ref="J47:L47"/>
    <mergeCell ref="A36:A40"/>
    <mergeCell ref="B36:D36"/>
    <mergeCell ref="J36:L36"/>
    <mergeCell ref="B37:D37"/>
    <mergeCell ref="J37:L37"/>
    <mergeCell ref="B38:D38"/>
    <mergeCell ref="J38:L38"/>
    <mergeCell ref="B39:D39"/>
    <mergeCell ref="J39:L39"/>
    <mergeCell ref="B40:D40"/>
    <mergeCell ref="J40:L40"/>
    <mergeCell ref="M33:M34"/>
    <mergeCell ref="O33:O34"/>
    <mergeCell ref="B34:D34"/>
    <mergeCell ref="J34:L34"/>
    <mergeCell ref="B35:D35"/>
    <mergeCell ref="B31:D31"/>
    <mergeCell ref="H31:J31"/>
    <mergeCell ref="B33:D33"/>
    <mergeCell ref="E33:E34"/>
    <mergeCell ref="G33:G34"/>
    <mergeCell ref="I33:I34"/>
    <mergeCell ref="H28:J28"/>
    <mergeCell ref="B29:D29"/>
    <mergeCell ref="H29:J29"/>
    <mergeCell ref="B30:D30"/>
    <mergeCell ref="H30:J30"/>
    <mergeCell ref="B20:D20"/>
    <mergeCell ref="B21:D21"/>
    <mergeCell ref="H21:J21"/>
    <mergeCell ref="B22:D22"/>
    <mergeCell ref="A23:A31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B13:D13"/>
    <mergeCell ref="A14:A18"/>
    <mergeCell ref="B14:D14"/>
    <mergeCell ref="G14:G15"/>
    <mergeCell ref="J14:L14"/>
    <mergeCell ref="B15:D15"/>
    <mergeCell ref="J15:L15"/>
    <mergeCell ref="B16:D16"/>
    <mergeCell ref="J16:L16"/>
    <mergeCell ref="B17:D17"/>
    <mergeCell ref="J17:L17"/>
    <mergeCell ref="B18:D18"/>
    <mergeCell ref="J18:L18"/>
    <mergeCell ref="B9:D9"/>
    <mergeCell ref="M9:M10"/>
    <mergeCell ref="O9:O10"/>
    <mergeCell ref="B10:D10"/>
    <mergeCell ref="B11:D11"/>
    <mergeCell ref="G11:G12"/>
    <mergeCell ref="I11:I12"/>
    <mergeCell ref="M11:M12"/>
    <mergeCell ref="O11:O12"/>
    <mergeCell ref="B12:D12"/>
    <mergeCell ref="J12:L12"/>
    <mergeCell ref="A5:A8"/>
    <mergeCell ref="B5:D5"/>
    <mergeCell ref="B6:D6"/>
    <mergeCell ref="B7:D7"/>
    <mergeCell ref="B8:D8"/>
    <mergeCell ref="B1:L1"/>
    <mergeCell ref="N1:P1"/>
    <mergeCell ref="F2:H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0E81-A1AD-451C-9354-12D02C97C68B}">
  <sheetPr>
    <tabColor theme="7" tint="-0.499984740745262"/>
  </sheetPr>
  <dimension ref="A1:R42"/>
  <sheetViews>
    <sheetView tabSelected="1" topLeftCell="A14" zoomScaleNormal="100" zoomScalePageLayoutView="120" workbookViewId="0">
      <selection activeCell="D33" sqref="D33"/>
    </sheetView>
  </sheetViews>
  <sheetFormatPr defaultColWidth="8.84375" defaultRowHeight="12.5" x14ac:dyDescent="0.25"/>
  <cols>
    <col min="1" max="1" width="18" style="5" customWidth="1"/>
    <col min="2" max="4" width="13.3046875" style="5" customWidth="1"/>
    <col min="5" max="5" width="28.4609375" style="5" customWidth="1"/>
    <col min="6" max="6" width="13.3046875" style="5" customWidth="1"/>
    <col min="7" max="7" width="24.69140625" style="5" customWidth="1"/>
    <col min="8" max="8" width="13.3046875" style="5" customWidth="1"/>
    <col min="9" max="9" width="13.84375" style="5" customWidth="1"/>
    <col min="10" max="10" width="12.84375" style="5" customWidth="1"/>
    <col min="11" max="11" width="20.15234375" style="5" customWidth="1"/>
    <col min="12" max="13" width="11.3046875" style="5" bestFit="1" customWidth="1"/>
    <col min="14" max="16384" width="8.84375" style="5"/>
  </cols>
  <sheetData>
    <row r="1" spans="1:13" ht="13" thickTop="1" x14ac:dyDescent="0.25">
      <c r="A1" s="185"/>
      <c r="B1" s="187" t="s">
        <v>2</v>
      </c>
      <c r="C1" s="187"/>
      <c r="D1" s="187"/>
      <c r="E1" s="196" t="s">
        <v>15</v>
      </c>
      <c r="F1" s="197"/>
      <c r="G1" s="197"/>
      <c r="H1" s="16"/>
      <c r="I1" s="191" t="s">
        <v>24</v>
      </c>
      <c r="J1" s="191"/>
      <c r="K1" s="192"/>
    </row>
    <row r="2" spans="1:13" x14ac:dyDescent="0.25">
      <c r="A2" s="186"/>
      <c r="B2" s="188"/>
      <c r="C2" s="188"/>
      <c r="D2" s="188"/>
      <c r="E2" s="198"/>
      <c r="F2" s="199"/>
      <c r="G2" s="199"/>
      <c r="H2" s="17"/>
      <c r="I2" s="193"/>
      <c r="J2" s="193"/>
      <c r="K2" s="194"/>
    </row>
    <row r="3" spans="1:13" ht="13" customHeight="1" x14ac:dyDescent="0.25">
      <c r="A3" s="186"/>
      <c r="B3" s="189" t="s">
        <v>2</v>
      </c>
      <c r="C3" s="189" t="s">
        <v>18</v>
      </c>
      <c r="D3" s="189" t="s">
        <v>19</v>
      </c>
      <c r="E3" s="189" t="s">
        <v>20</v>
      </c>
      <c r="F3" s="189" t="s">
        <v>21</v>
      </c>
      <c r="G3" s="189" t="s">
        <v>22</v>
      </c>
      <c r="H3" s="200" t="s">
        <v>26</v>
      </c>
      <c r="I3" s="189" t="s">
        <v>25</v>
      </c>
      <c r="J3" s="189" t="s">
        <v>27</v>
      </c>
      <c r="K3" s="195"/>
    </row>
    <row r="4" spans="1:13" x14ac:dyDescent="0.25">
      <c r="A4" s="186"/>
      <c r="B4" s="189"/>
      <c r="C4" s="189"/>
      <c r="D4" s="189"/>
      <c r="E4" s="189"/>
      <c r="F4" s="189"/>
      <c r="G4" s="189"/>
      <c r="H4" s="201"/>
      <c r="I4" s="189"/>
      <c r="J4" s="189"/>
      <c r="K4" s="195"/>
    </row>
    <row r="5" spans="1:13" ht="12.75" customHeight="1" x14ac:dyDescent="0.25">
      <c r="A5" s="6">
        <v>44043</v>
      </c>
      <c r="B5" s="9">
        <v>62.76</v>
      </c>
      <c r="C5" s="8"/>
      <c r="D5" s="9">
        <f>SUM(B5:C5)</f>
        <v>62.76</v>
      </c>
      <c r="E5" s="9">
        <v>18</v>
      </c>
      <c r="F5" s="7"/>
      <c r="G5" s="9"/>
      <c r="H5" s="9">
        <f>SUM(E5:G5)</f>
        <v>18</v>
      </c>
      <c r="I5" s="7">
        <f>SUM(D5-H5)</f>
        <v>44.76</v>
      </c>
      <c r="J5" s="9">
        <f>SUM(I5+65863)</f>
        <v>65907.759999999995</v>
      </c>
      <c r="K5" s="19"/>
    </row>
    <row r="6" spans="1:13" x14ac:dyDescent="0.25">
      <c r="A6" s="6">
        <v>44074</v>
      </c>
      <c r="B6" s="9">
        <v>1283.47</v>
      </c>
      <c r="C6" s="8"/>
      <c r="D6" s="9">
        <f>SUM(B6:C6)</f>
        <v>1283.47</v>
      </c>
      <c r="E6" s="9">
        <v>455.59</v>
      </c>
      <c r="F6" s="7"/>
      <c r="G6" s="9"/>
      <c r="H6" s="9">
        <f t="shared" ref="H6:H16" si="0">SUM(E6:G6)</f>
        <v>455.59</v>
      </c>
      <c r="I6" s="7">
        <f>SUM(D6-H6)</f>
        <v>827.88000000000011</v>
      </c>
      <c r="J6" s="9">
        <f>SUM(J5+I6)</f>
        <v>66735.64</v>
      </c>
      <c r="K6" s="19"/>
    </row>
    <row r="7" spans="1:13" x14ac:dyDescent="0.25">
      <c r="A7" s="6">
        <v>44104</v>
      </c>
      <c r="B7" s="9">
        <v>668.24</v>
      </c>
      <c r="C7" s="8"/>
      <c r="D7" s="9">
        <f t="shared" ref="D7:D16" si="1">SUM(B7:C7)</f>
        <v>668.24</v>
      </c>
      <c r="E7" s="9">
        <v>79.680000000000007</v>
      </c>
      <c r="F7" s="7"/>
      <c r="G7" s="9"/>
      <c r="H7" s="9">
        <f t="shared" si="0"/>
        <v>79.680000000000007</v>
      </c>
      <c r="I7" s="7">
        <f t="shared" ref="I7:I16" si="2">SUM(D7-H7)</f>
        <v>588.55999999999995</v>
      </c>
      <c r="J7" s="9">
        <f>SUM(J6+I7)</f>
        <v>67324.2</v>
      </c>
      <c r="K7" s="19"/>
    </row>
    <row r="8" spans="1:13" x14ac:dyDescent="0.25">
      <c r="A8" s="6">
        <v>44135</v>
      </c>
      <c r="B8" s="9">
        <v>5578.45</v>
      </c>
      <c r="C8" s="8"/>
      <c r="D8" s="9">
        <f t="shared" si="1"/>
        <v>5578.45</v>
      </c>
      <c r="E8" s="10">
        <v>109.94</v>
      </c>
      <c r="F8" s="7"/>
      <c r="G8" s="9"/>
      <c r="H8" s="9">
        <f t="shared" si="0"/>
        <v>109.94</v>
      </c>
      <c r="I8" s="7">
        <f t="shared" si="2"/>
        <v>5468.51</v>
      </c>
      <c r="J8" s="9">
        <f>SUM(J7+I8)</f>
        <v>72792.709999999992</v>
      </c>
      <c r="K8" s="19"/>
      <c r="L8" s="11"/>
      <c r="M8" s="11"/>
    </row>
    <row r="9" spans="1:13" x14ac:dyDescent="0.25">
      <c r="A9" s="6">
        <v>44165</v>
      </c>
      <c r="B9" s="9">
        <v>3512.55</v>
      </c>
      <c r="C9" s="8"/>
      <c r="D9" s="9">
        <f t="shared" si="1"/>
        <v>3512.55</v>
      </c>
      <c r="E9" s="9">
        <v>1317.72</v>
      </c>
      <c r="F9" s="7"/>
      <c r="G9" s="9"/>
      <c r="H9" s="9">
        <f t="shared" si="0"/>
        <v>1317.72</v>
      </c>
      <c r="I9" s="7">
        <f t="shared" si="2"/>
        <v>2194.83</v>
      </c>
      <c r="J9" s="9">
        <f t="shared" ref="J9:J16" si="3">SUM(J8+I9)</f>
        <v>74987.539999999994</v>
      </c>
      <c r="K9" s="19"/>
    </row>
    <row r="10" spans="1:13" x14ac:dyDescent="0.25">
      <c r="A10" s="6">
        <v>44196</v>
      </c>
      <c r="B10" s="9">
        <v>640.29999999999995</v>
      </c>
      <c r="C10" s="8"/>
      <c r="D10" s="9">
        <f t="shared" si="1"/>
        <v>640.29999999999995</v>
      </c>
      <c r="E10" s="9">
        <v>1104.8800000000001</v>
      </c>
      <c r="F10" s="7"/>
      <c r="G10" s="9"/>
      <c r="H10" s="9">
        <f t="shared" si="0"/>
        <v>1104.8800000000001</v>
      </c>
      <c r="I10" s="7">
        <f t="shared" si="2"/>
        <v>-464.58000000000015</v>
      </c>
      <c r="J10" s="9">
        <f t="shared" si="3"/>
        <v>74522.959999999992</v>
      </c>
      <c r="K10" s="19"/>
    </row>
    <row r="11" spans="1:13" x14ac:dyDescent="0.25">
      <c r="A11" s="6">
        <v>44227</v>
      </c>
      <c r="B11" s="9">
        <v>1272.73</v>
      </c>
      <c r="C11" s="10"/>
      <c r="D11" s="9">
        <f t="shared" si="1"/>
        <v>1272.73</v>
      </c>
      <c r="E11" s="9">
        <v>835.23</v>
      </c>
      <c r="F11" s="7"/>
      <c r="G11" s="9"/>
      <c r="H11" s="9">
        <f t="shared" si="0"/>
        <v>835.23</v>
      </c>
      <c r="I11" s="7">
        <f t="shared" si="2"/>
        <v>437.5</v>
      </c>
      <c r="J11" s="9">
        <f t="shared" si="3"/>
        <v>74960.459999999992</v>
      </c>
      <c r="K11" s="19"/>
    </row>
    <row r="12" spans="1:13" x14ac:dyDescent="0.25">
      <c r="A12" s="6">
        <v>44255</v>
      </c>
      <c r="B12" s="9">
        <v>470.53</v>
      </c>
      <c r="C12" s="8"/>
      <c r="D12" s="9">
        <f t="shared" si="1"/>
        <v>470.53</v>
      </c>
      <c r="E12" s="24">
        <v>18</v>
      </c>
      <c r="F12" s="7"/>
      <c r="G12" s="9"/>
      <c r="H12" s="9">
        <f t="shared" si="0"/>
        <v>18</v>
      </c>
      <c r="I12" s="7">
        <f t="shared" si="2"/>
        <v>452.53</v>
      </c>
      <c r="J12" s="9">
        <f t="shared" si="3"/>
        <v>75412.989999999991</v>
      </c>
      <c r="K12" s="19"/>
    </row>
    <row r="13" spans="1:13" x14ac:dyDescent="0.25">
      <c r="A13" s="6">
        <v>44286</v>
      </c>
      <c r="B13" s="9">
        <v>14.41</v>
      </c>
      <c r="C13" s="8"/>
      <c r="D13" s="9">
        <f t="shared" si="1"/>
        <v>14.41</v>
      </c>
      <c r="E13" s="9">
        <v>45.98</v>
      </c>
      <c r="F13" s="7"/>
      <c r="G13" s="9"/>
      <c r="H13" s="9">
        <f t="shared" si="0"/>
        <v>45.98</v>
      </c>
      <c r="I13" s="7">
        <f t="shared" si="2"/>
        <v>-31.569999999999997</v>
      </c>
      <c r="J13" s="9">
        <f t="shared" si="3"/>
        <v>75381.419999999984</v>
      </c>
      <c r="K13" s="19"/>
    </row>
    <row r="14" spans="1:13" x14ac:dyDescent="0.25">
      <c r="A14" s="6">
        <v>44316</v>
      </c>
      <c r="B14" s="9">
        <v>255.76</v>
      </c>
      <c r="C14" s="8"/>
      <c r="D14" s="9">
        <f t="shared" si="1"/>
        <v>255.76</v>
      </c>
      <c r="E14" s="9">
        <v>660.22</v>
      </c>
      <c r="F14" s="7"/>
      <c r="G14" s="9"/>
      <c r="H14" s="9">
        <f t="shared" si="0"/>
        <v>660.22</v>
      </c>
      <c r="I14" s="7">
        <f t="shared" si="2"/>
        <v>-404.46000000000004</v>
      </c>
      <c r="J14" s="9">
        <f t="shared" si="3"/>
        <v>74976.959999999977</v>
      </c>
      <c r="K14" s="19"/>
    </row>
    <row r="15" spans="1:13" ht="13" thickBot="1" x14ac:dyDescent="0.3">
      <c r="A15" s="6">
        <v>44347</v>
      </c>
      <c r="B15" s="8">
        <v>1048.1099999999999</v>
      </c>
      <c r="C15" s="8"/>
      <c r="D15" s="9">
        <f t="shared" si="1"/>
        <v>1048.1099999999999</v>
      </c>
      <c r="E15" s="9">
        <v>3544.95</v>
      </c>
      <c r="F15" s="7"/>
      <c r="G15" s="12"/>
      <c r="H15" s="9">
        <f t="shared" si="0"/>
        <v>3544.95</v>
      </c>
      <c r="I15" s="7">
        <f t="shared" si="2"/>
        <v>-2496.84</v>
      </c>
      <c r="J15" s="9">
        <f t="shared" si="3"/>
        <v>72480.119999999981</v>
      </c>
      <c r="K15" s="19"/>
    </row>
    <row r="16" spans="1:13" ht="13.5" thickTop="1" thickBot="1" x14ac:dyDescent="0.3">
      <c r="A16" s="6">
        <v>44377</v>
      </c>
      <c r="B16" s="8"/>
      <c r="C16" s="8"/>
      <c r="D16" s="9">
        <f t="shared" si="1"/>
        <v>0</v>
      </c>
      <c r="E16" s="9">
        <v>3283.76</v>
      </c>
      <c r="F16" s="7"/>
      <c r="G16" s="9"/>
      <c r="H16" s="9">
        <f t="shared" si="0"/>
        <v>3283.76</v>
      </c>
      <c r="I16" s="7">
        <f t="shared" si="2"/>
        <v>-3283.76</v>
      </c>
      <c r="J16" s="9">
        <f t="shared" si="3"/>
        <v>69196.359999999986</v>
      </c>
      <c r="K16" s="19"/>
    </row>
    <row r="17" spans="1:18" ht="13.5" thickTop="1" thickBot="1" x14ac:dyDescent="0.3">
      <c r="A17" s="13" t="s">
        <v>23</v>
      </c>
      <c r="B17" s="14">
        <f>SUM(B5:B16)</f>
        <v>14807.310000000001</v>
      </c>
      <c r="C17" s="13">
        <f>SUM(C5:C16)</f>
        <v>0</v>
      </c>
      <c r="D17" s="18">
        <f>SUM(B17+C17)</f>
        <v>14807.310000000001</v>
      </c>
      <c r="E17" s="15">
        <f>SUM(E5:E16)</f>
        <v>11473.95</v>
      </c>
      <c r="F17" s="14">
        <f>SUM(F5:F16)</f>
        <v>0</v>
      </c>
      <c r="G17" s="15">
        <f>SUM(G5:G16)</f>
        <v>0</v>
      </c>
      <c r="H17" s="15">
        <f>SUM(H5:H16)</f>
        <v>11473.95</v>
      </c>
      <c r="I17" s="14">
        <f>SUM(I5:I16)</f>
        <v>3333.3600000000024</v>
      </c>
      <c r="J17" s="15"/>
      <c r="K17" s="13"/>
    </row>
    <row r="18" spans="1:18" ht="13" thickTop="1" x14ac:dyDescent="0.25">
      <c r="D18" s="10"/>
      <c r="J18" s="10"/>
    </row>
    <row r="19" spans="1:18" x14ac:dyDescent="0.25">
      <c r="B19" s="11"/>
      <c r="D19" s="10"/>
      <c r="I19" s="10"/>
      <c r="J19" s="10"/>
    </row>
    <row r="20" spans="1:18" x14ac:dyDescent="0.25">
      <c r="E20" s="10"/>
      <c r="J20" s="10"/>
    </row>
    <row r="21" spans="1:18" x14ac:dyDescent="0.25">
      <c r="D21" s="10"/>
      <c r="G21" s="10"/>
      <c r="H21" s="10"/>
      <c r="J21" s="10"/>
      <c r="K21" s="10"/>
      <c r="L21" s="184"/>
      <c r="M21" s="190"/>
      <c r="N21" s="190"/>
      <c r="P21" s="184" t="s">
        <v>156</v>
      </c>
      <c r="Q21" s="184"/>
      <c r="R21" s="184"/>
    </row>
    <row r="22" spans="1:18" x14ac:dyDescent="0.25">
      <c r="B22" s="10"/>
      <c r="F22" s="5" t="s">
        <v>132</v>
      </c>
      <c r="J22" s="10"/>
      <c r="K22" s="10"/>
      <c r="L22" s="190"/>
      <c r="M22" s="190"/>
      <c r="N22" s="190"/>
      <c r="P22" s="184"/>
      <c r="Q22" s="184"/>
      <c r="R22" s="184"/>
    </row>
    <row r="23" spans="1:18" ht="13.5" x14ac:dyDescent="0.3">
      <c r="A23"/>
      <c r="B23" s="5" t="s">
        <v>139</v>
      </c>
      <c r="C23" s="5">
        <v>65863</v>
      </c>
      <c r="E23" s="176">
        <f t="shared" ref="E23:E31" si="4">SUM(G23/11474)</f>
        <v>1.802074254837023E-2</v>
      </c>
      <c r="F23" t="s">
        <v>10</v>
      </c>
      <c r="G23" s="169">
        <f>SUM('May 2025'!N23)</f>
        <v>206.77</v>
      </c>
      <c r="H23" s="170" t="s">
        <v>67</v>
      </c>
      <c r="I23" s="169">
        <f>SUM('Aug 2024'!H9+'Sept 2024'!H10+'Oct 2024'!H10+'Nov 2024'!H9+'Dec 2024'!H10+'Jan 2025'!H10+'Feb 2025'!H10+'Mar 2025'!H9+'Apr 2024'!H10+'May 2025'!H10+'June 2025'!H10+'July 2025'!H10)</f>
        <v>189.54</v>
      </c>
      <c r="K23" s="10"/>
      <c r="L23" s="190"/>
      <c r="M23" s="190"/>
      <c r="N23" s="190"/>
      <c r="P23" s="184"/>
      <c r="Q23" s="184"/>
      <c r="R23" s="184"/>
    </row>
    <row r="24" spans="1:18" ht="13.5" x14ac:dyDescent="0.3">
      <c r="A24"/>
      <c r="D24" s="10"/>
      <c r="E24" s="176">
        <f t="shared" si="4"/>
        <v>0</v>
      </c>
      <c r="F24" t="s">
        <v>7</v>
      </c>
      <c r="G24" s="5">
        <v>0</v>
      </c>
      <c r="H24" s="170" t="s">
        <v>138</v>
      </c>
      <c r="I24" s="169">
        <f>'Aug 2024'!H8+'Sept 2024'!H9+'Oct 2024'!H9+'Nov 2024'!H8+'Dec 2024'!H9+'Jan 2025'!H9+'Feb 2025'!H9+'Mar 2025'!H8+'Apr 2024'!H9+'May 2025'!H9+'June 2025'!H9+'July 2025'!H9</f>
        <v>14617.77</v>
      </c>
      <c r="J24" s="10"/>
      <c r="K24" s="10"/>
      <c r="L24" s="190"/>
      <c r="M24" s="190"/>
      <c r="N24" s="190"/>
      <c r="P24" s="184"/>
      <c r="Q24" s="184"/>
      <c r="R24" s="184"/>
    </row>
    <row r="25" spans="1:18" ht="13.5" x14ac:dyDescent="0.3">
      <c r="A25"/>
      <c r="E25" s="176">
        <f t="shared" si="4"/>
        <v>0.88220498518389401</v>
      </c>
      <c r="F25" t="s">
        <v>6</v>
      </c>
      <c r="G25" s="5">
        <f>SUM('Sept 2024'!N25+'Dec 2024'!N24+'Jan 2025'!N24+'Feb 2025'!N24+'May 2025'!N25+'June 2025'!N23+'July 2025'!N25)</f>
        <v>10122.42</v>
      </c>
      <c r="H25"/>
      <c r="I25"/>
      <c r="L25" s="190"/>
      <c r="M25" s="190"/>
      <c r="N25" s="190"/>
      <c r="P25" s="184"/>
      <c r="Q25" s="184"/>
      <c r="R25" s="184"/>
    </row>
    <row r="26" spans="1:18" ht="13.5" x14ac:dyDescent="0.3">
      <c r="A26"/>
      <c r="E26" s="176">
        <f t="shared" si="4"/>
        <v>2.9906745685898552E-2</v>
      </c>
      <c r="F26" t="s">
        <v>8</v>
      </c>
      <c r="G26" s="169">
        <f>SUM('Aug 2024'!N27+'Sept 2024'!N27+'Oct 2024'!N32+'Nov 2024'!N26+'Dec 2024'!N25+'Jan 2025'!N26+'Feb 2025'!N25+'Mar 2025'!N24+'Apr 2024'!N25+'May 2025'!N26+'June 2025'!N24+'July 2025'!N26)</f>
        <v>343.15</v>
      </c>
      <c r="H26" s="170" t="s">
        <v>119</v>
      </c>
      <c r="I26" s="169">
        <f>SUM(I23:I25)</f>
        <v>14807.310000000001</v>
      </c>
      <c r="L26" s="190"/>
      <c r="M26" s="190"/>
      <c r="N26" s="190"/>
      <c r="P26" s="184"/>
      <c r="Q26" s="184"/>
      <c r="R26" s="184"/>
    </row>
    <row r="27" spans="1:18" ht="13.5" x14ac:dyDescent="0.3">
      <c r="A27"/>
      <c r="E27" s="176">
        <f t="shared" si="4"/>
        <v>1.0866306431933067E-2</v>
      </c>
      <c r="F27" t="s">
        <v>3</v>
      </c>
      <c r="G27" s="5">
        <f>SUM('Jan 2025'!N23+'Feb 2025'!N23+'Apr 2024'!N23+'July 2025'!N24)</f>
        <v>124.68</v>
      </c>
      <c r="L27" s="190"/>
      <c r="M27" s="190"/>
      <c r="N27" s="190"/>
    </row>
    <row r="28" spans="1:18" ht="13.5" x14ac:dyDescent="0.3">
      <c r="A28" s="168"/>
      <c r="E28" s="176">
        <f t="shared" si="4"/>
        <v>0</v>
      </c>
      <c r="F28" t="s">
        <v>142</v>
      </c>
      <c r="G28" s="171">
        <f>SUM('Feb 2025'!N26+'July 2025'!N27)</f>
        <v>0</v>
      </c>
    </row>
    <row r="29" spans="1:18" ht="13.5" x14ac:dyDescent="0.3">
      <c r="A29"/>
      <c r="E29" s="176">
        <f t="shared" si="4"/>
        <v>4.0613561094648776E-3</v>
      </c>
      <c r="F29" s="168" t="s">
        <v>135</v>
      </c>
      <c r="G29" s="5">
        <f>SUM('Jan 2025'!N28)</f>
        <v>46.6</v>
      </c>
      <c r="J29" s="10"/>
      <c r="K29" s="10"/>
    </row>
    <row r="30" spans="1:18" ht="13.5" x14ac:dyDescent="0.3">
      <c r="A30"/>
      <c r="E30" s="176">
        <f t="shared" si="4"/>
        <v>5.1723897507408058E-2</v>
      </c>
      <c r="F30" s="4" t="s">
        <v>4</v>
      </c>
      <c r="G30" s="5">
        <f>SUM('Sept 2024'!N28+'Oct 2024'!N28+'Nov 2024'!N27+'Dec 2024'!N26+'Feb 2025'!N27+'May 2025'!N29+'July 2025'!N28)</f>
        <v>593.48</v>
      </c>
      <c r="J30" s="10"/>
      <c r="K30" s="10"/>
    </row>
    <row r="31" spans="1:18" ht="13.5" x14ac:dyDescent="0.3">
      <c r="A31"/>
      <c r="E31" s="176">
        <f t="shared" si="4"/>
        <v>3.2116088548021617E-3</v>
      </c>
      <c r="F31" s="163" t="s">
        <v>209</v>
      </c>
      <c r="G31" s="5">
        <f>SUM('July 2025'!N23)</f>
        <v>36.85</v>
      </c>
      <c r="J31" s="10"/>
      <c r="K31" s="10"/>
    </row>
    <row r="32" spans="1:18" ht="13.5" x14ac:dyDescent="0.3">
      <c r="A32"/>
      <c r="E32" s="176">
        <f>SUM(E23:E30)</f>
        <v>0.99678403346696887</v>
      </c>
      <c r="F32" t="s">
        <v>1</v>
      </c>
      <c r="G32" s="180">
        <f>SUM(G23:G31)</f>
        <v>11473.95</v>
      </c>
    </row>
    <row r="33" spans="5:10" ht="13.5" x14ac:dyDescent="0.3">
      <c r="E33"/>
      <c r="J33" s="10"/>
    </row>
    <row r="34" spans="5:10" ht="13.5" x14ac:dyDescent="0.3">
      <c r="E34" s="176">
        <f>SUM(G34/11474)</f>
        <v>2.2082098657835107E-2</v>
      </c>
      <c r="F34" s="5" t="s">
        <v>146</v>
      </c>
      <c r="G34" s="169">
        <f>G23+G29</f>
        <v>253.37</v>
      </c>
      <c r="J34" s="10"/>
    </row>
    <row r="35" spans="5:10" ht="13.5" x14ac:dyDescent="0.3">
      <c r="E35"/>
      <c r="F35" s="169" t="s">
        <v>157</v>
      </c>
      <c r="G35" s="5">
        <f>SUM(G25)</f>
        <v>10122.42</v>
      </c>
      <c r="J35" s="10"/>
    </row>
    <row r="36" spans="5:10" ht="13.5" x14ac:dyDescent="0.3">
      <c r="E36"/>
      <c r="F36" s="5" t="s">
        <v>158</v>
      </c>
      <c r="G36" s="169">
        <f>SUM(G26+G27+G28+G30+G31)</f>
        <v>1098.1599999999999</v>
      </c>
      <c r="J36" s="10"/>
    </row>
    <row r="37" spans="5:10" ht="13.5" x14ac:dyDescent="0.3">
      <c r="E37"/>
      <c r="F37" s="168"/>
    </row>
    <row r="38" spans="5:10" ht="13.5" x14ac:dyDescent="0.3">
      <c r="E38"/>
    </row>
    <row r="39" spans="5:10" ht="13.5" x14ac:dyDescent="0.3">
      <c r="E39"/>
      <c r="F39" s="5" t="s">
        <v>1</v>
      </c>
      <c r="G39" s="169">
        <f>SUM(G34:G37)</f>
        <v>11473.95</v>
      </c>
    </row>
    <row r="40" spans="5:10" ht="13.5" x14ac:dyDescent="0.3">
      <c r="E40" s="168"/>
    </row>
    <row r="42" spans="5:10" x14ac:dyDescent="0.25">
      <c r="E42" s="170"/>
      <c r="F42" s="169"/>
    </row>
  </sheetData>
  <mergeCells count="16">
    <mergeCell ref="P21:R26"/>
    <mergeCell ref="A1:A4"/>
    <mergeCell ref="B1:D2"/>
    <mergeCell ref="B3:B4"/>
    <mergeCell ref="C3:C4"/>
    <mergeCell ref="D3:D4"/>
    <mergeCell ref="E3:E4"/>
    <mergeCell ref="L21:N27"/>
    <mergeCell ref="F3:F4"/>
    <mergeCell ref="G3:G4"/>
    <mergeCell ref="I1:K2"/>
    <mergeCell ref="I3:I4"/>
    <mergeCell ref="J3:J4"/>
    <mergeCell ref="K3:K4"/>
    <mergeCell ref="E1:G2"/>
    <mergeCell ref="H3:H4"/>
  </mergeCells>
  <dataValidations count="1">
    <dataValidation type="list" allowBlank="1" showInputMessage="1" showErrorMessage="1" sqref="A26 E38 F26" xr:uid="{636A1582-25E4-4DE9-9099-686F106DB43D}">
      <formula1>$I$21:$I$39</formula1>
    </dataValidation>
  </dataValidations>
  <pageMargins left="0.75" right="0.75" top="1" bottom="1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017F-F023-45C7-8981-0CF959AE91C4}">
  <dimension ref="A1:N62"/>
  <sheetViews>
    <sheetView workbookViewId="0">
      <selection activeCell="N29" sqref="N29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8" width="11" customWidth="1"/>
    <col min="9" max="9" width="0" hidden="1" customWidth="1"/>
  </cols>
  <sheetData>
    <row r="1" spans="1:9" ht="13" customHeight="1" x14ac:dyDescent="0.3">
      <c r="A1" s="264" t="s">
        <v>200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163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163" t="s">
        <v>12</v>
      </c>
    </row>
    <row r="9" spans="1:9" x14ac:dyDescent="0.3">
      <c r="A9" s="1"/>
      <c r="B9" s="164"/>
      <c r="C9" s="1"/>
      <c r="E9" t="s">
        <v>137</v>
      </c>
      <c r="G9" s="1" t="s">
        <v>138</v>
      </c>
      <c r="H9">
        <f>SUMIF(E9:E14,"Fundraising",B9:B14)</f>
        <v>0</v>
      </c>
      <c r="I9" s="163" t="s">
        <v>13</v>
      </c>
    </row>
    <row r="10" spans="1:9" x14ac:dyDescent="0.3">
      <c r="A10" s="167"/>
      <c r="B10" s="164"/>
      <c r="C10" s="1"/>
      <c r="E10" t="s">
        <v>137</v>
      </c>
      <c r="G10" t="s">
        <v>137</v>
      </c>
      <c r="H10">
        <f>SUMIF(E9:E15,"Donation",B9:B15)</f>
        <v>0</v>
      </c>
      <c r="I10" t="s">
        <v>36</v>
      </c>
    </row>
    <row r="11" spans="1:9" x14ac:dyDescent="0.3">
      <c r="A11" s="167"/>
      <c r="B11" s="164"/>
      <c r="C11" s="1"/>
      <c r="I11" t="s">
        <v>37</v>
      </c>
    </row>
    <row r="12" spans="1:9" x14ac:dyDescent="0.3">
      <c r="A12" s="167"/>
      <c r="B12" s="164"/>
      <c r="C12" s="1"/>
      <c r="I12" t="s">
        <v>38</v>
      </c>
    </row>
    <row r="13" spans="1:9" x14ac:dyDescent="0.3">
      <c r="A13" s="1"/>
      <c r="B13" s="164"/>
      <c r="C13" s="1"/>
    </row>
    <row r="14" spans="1:9" x14ac:dyDescent="0.3">
      <c r="A14" s="1"/>
      <c r="B14" s="1"/>
      <c r="C14" s="1"/>
    </row>
    <row r="15" spans="1:9" x14ac:dyDescent="0.3">
      <c r="A15" s="1"/>
      <c r="B15" s="20"/>
    </row>
    <row r="16" spans="1:9" x14ac:dyDescent="0.3">
      <c r="A16" s="1"/>
      <c r="B16" s="164"/>
      <c r="C16" s="1"/>
      <c r="I16" t="s">
        <v>37</v>
      </c>
    </row>
    <row r="17" spans="1:14" x14ac:dyDescent="0.3">
      <c r="A17" s="1" t="s">
        <v>30</v>
      </c>
      <c r="B17" s="20">
        <f>SUM(B9:B16)</f>
        <v>0</v>
      </c>
    </row>
    <row r="20" spans="1:14" x14ac:dyDescent="0.3">
      <c r="A20" s="262" t="s">
        <v>31</v>
      </c>
      <c r="B20" s="262"/>
      <c r="C20" s="262"/>
      <c r="D20" s="262"/>
      <c r="E20" s="262"/>
      <c r="F20" s="262"/>
    </row>
    <row r="21" spans="1:14" x14ac:dyDescent="0.3">
      <c r="A21" s="262"/>
      <c r="B21" s="262"/>
      <c r="C21" s="262"/>
      <c r="D21" s="262"/>
      <c r="E21" s="262"/>
      <c r="F21" s="262"/>
      <c r="I21" t="s">
        <v>0</v>
      </c>
    </row>
    <row r="22" spans="1:14" x14ac:dyDescent="0.3">
      <c r="A22" t="s">
        <v>32</v>
      </c>
      <c r="B22" t="s">
        <v>28</v>
      </c>
      <c r="C22" t="s">
        <v>16</v>
      </c>
      <c r="D22" t="s">
        <v>49</v>
      </c>
      <c r="E22" t="s">
        <v>34</v>
      </c>
      <c r="F22" t="s">
        <v>35</v>
      </c>
      <c r="I22" t="s">
        <v>3</v>
      </c>
      <c r="M22" s="263" t="s">
        <v>144</v>
      </c>
      <c r="N22" s="263"/>
    </row>
    <row r="23" spans="1:14" x14ac:dyDescent="0.3">
      <c r="A23" t="s">
        <v>8</v>
      </c>
      <c r="B23">
        <v>18</v>
      </c>
      <c r="C23" s="1" t="s">
        <v>51</v>
      </c>
      <c r="D23" t="s">
        <v>52</v>
      </c>
      <c r="E23" t="s">
        <v>40</v>
      </c>
      <c r="I23" s="4" t="s">
        <v>4</v>
      </c>
      <c r="M23" s="4" t="s">
        <v>5</v>
      </c>
      <c r="N23">
        <f>SUMIF(A22:A30,"Mileage &amp; Travel",B22:B30)</f>
        <v>36.85</v>
      </c>
    </row>
    <row r="24" spans="1:14" x14ac:dyDescent="0.3">
      <c r="A24" t="s">
        <v>6</v>
      </c>
      <c r="B24">
        <v>93.45</v>
      </c>
      <c r="C24" s="165" t="s">
        <v>201</v>
      </c>
      <c r="D24" t="s">
        <v>50</v>
      </c>
      <c r="E24" t="s">
        <v>40</v>
      </c>
      <c r="I24" s="4" t="s">
        <v>5</v>
      </c>
      <c r="M24" t="s">
        <v>3</v>
      </c>
      <c r="N24">
        <f>SUMIF(A21:A29,"Stationary",B21:B29)</f>
        <v>21.16</v>
      </c>
    </row>
    <row r="25" spans="1:14" x14ac:dyDescent="0.3">
      <c r="A25" t="s">
        <v>4</v>
      </c>
      <c r="B25">
        <v>80.400000000000006</v>
      </c>
      <c r="C25" s="165" t="s">
        <v>202</v>
      </c>
      <c r="D25" t="s">
        <v>50</v>
      </c>
      <c r="E25" t="s">
        <v>40</v>
      </c>
      <c r="F25" s="168"/>
      <c r="I25" s="4" t="s">
        <v>6</v>
      </c>
      <c r="M25" t="s">
        <v>6</v>
      </c>
      <c r="N25">
        <f>SUMIF(A22:A32,"Stock - comfort kits",B22:B32)</f>
        <v>3127.35</v>
      </c>
    </row>
    <row r="26" spans="1:14" x14ac:dyDescent="0.3">
      <c r="A26" t="s">
        <v>5</v>
      </c>
      <c r="B26">
        <v>36.85</v>
      </c>
      <c r="C26" s="165" t="s">
        <v>203</v>
      </c>
      <c r="D26" t="s">
        <v>50</v>
      </c>
      <c r="E26" t="s">
        <v>40</v>
      </c>
      <c r="F26" s="168"/>
      <c r="I26" s="4" t="s">
        <v>7</v>
      </c>
      <c r="M26" s="4" t="s">
        <v>8</v>
      </c>
      <c r="N26">
        <f>SUMIF(A22:A30,"Overheads",B22:B30)</f>
        <v>18</v>
      </c>
    </row>
    <row r="27" spans="1:14" x14ac:dyDescent="0.3">
      <c r="A27" t="s">
        <v>6</v>
      </c>
      <c r="B27">
        <v>2623.47</v>
      </c>
      <c r="C27" s="165" t="s">
        <v>204</v>
      </c>
      <c r="D27" t="s">
        <v>50</v>
      </c>
      <c r="E27" t="s">
        <v>40</v>
      </c>
      <c r="F27" s="168"/>
      <c r="I27" s="4" t="s">
        <v>8</v>
      </c>
      <c r="M27" t="s">
        <v>142</v>
      </c>
      <c r="N27">
        <f>SUMIF(A23:A31,"office expenses",B23:B31)</f>
        <v>0</v>
      </c>
    </row>
    <row r="28" spans="1:14" x14ac:dyDescent="0.3">
      <c r="A28" s="177" t="s">
        <v>6</v>
      </c>
      <c r="B28" s="177">
        <v>282.27999999999997</v>
      </c>
      <c r="C28" s="183" t="s">
        <v>205</v>
      </c>
      <c r="D28" t="s">
        <v>50</v>
      </c>
      <c r="E28" t="s">
        <v>40</v>
      </c>
      <c r="I28" s="4" t="s">
        <v>5</v>
      </c>
      <c r="M28" t="s">
        <v>4</v>
      </c>
      <c r="N28">
        <f>SUMIF(A25:A35,"Postage &amp; Packaging",B25:B35)</f>
        <v>80.400000000000006</v>
      </c>
    </row>
    <row r="29" spans="1:14" x14ac:dyDescent="0.3">
      <c r="A29" t="s">
        <v>3</v>
      </c>
      <c r="B29">
        <v>21.16</v>
      </c>
      <c r="C29" s="165" t="s">
        <v>206</v>
      </c>
      <c r="D29" t="s">
        <v>50</v>
      </c>
      <c r="E29" t="s">
        <v>40</v>
      </c>
      <c r="I29" s="4"/>
    </row>
    <row r="30" spans="1:14" x14ac:dyDescent="0.3">
      <c r="A30" t="s">
        <v>6</v>
      </c>
      <c r="B30">
        <v>40.619999999999997</v>
      </c>
      <c r="C30" s="165" t="s">
        <v>207</v>
      </c>
      <c r="D30" t="s">
        <v>50</v>
      </c>
      <c r="E30" t="s">
        <v>40</v>
      </c>
      <c r="F30" s="168"/>
      <c r="I30" s="4"/>
      <c r="N30">
        <f>SUM(N23:N29)</f>
        <v>3283.76</v>
      </c>
    </row>
    <row r="31" spans="1:14" x14ac:dyDescent="0.3">
      <c r="A31" t="s">
        <v>6</v>
      </c>
      <c r="B31">
        <v>87.53</v>
      </c>
      <c r="C31" s="165" t="s">
        <v>208</v>
      </c>
      <c r="D31" t="s">
        <v>50</v>
      </c>
      <c r="E31" t="s">
        <v>40</v>
      </c>
      <c r="F31" s="168"/>
      <c r="I31" s="4"/>
    </row>
    <row r="32" spans="1:14" x14ac:dyDescent="0.3">
      <c r="A32" s="172"/>
      <c r="B32" s="172"/>
      <c r="C32" s="175"/>
      <c r="D32" s="172"/>
      <c r="E32" s="172"/>
      <c r="F32" s="172"/>
      <c r="G32" s="172"/>
      <c r="I32" s="4"/>
    </row>
    <row r="33" spans="1:9" x14ac:dyDescent="0.3">
      <c r="C33" s="165"/>
      <c r="D33" s="168"/>
      <c r="I33" s="163" t="s">
        <v>8</v>
      </c>
    </row>
    <row r="34" spans="1:9" x14ac:dyDescent="0.3">
      <c r="A34" t="s">
        <v>41</v>
      </c>
      <c r="B34" s="20">
        <f>SUM(B23:B33)</f>
        <v>3283.7599999999998</v>
      </c>
      <c r="I34" s="163" t="s">
        <v>10</v>
      </c>
    </row>
    <row r="36" spans="1:9" x14ac:dyDescent="0.3">
      <c r="A36" s="262" t="s">
        <v>43</v>
      </c>
      <c r="B36" s="262"/>
      <c r="C36" s="262"/>
      <c r="D36" s="262"/>
      <c r="E36" s="262"/>
      <c r="F36" s="262"/>
    </row>
    <row r="37" spans="1:9" x14ac:dyDescent="0.3">
      <c r="A37" s="262"/>
      <c r="B37" s="262"/>
      <c r="C37" s="262"/>
      <c r="D37" s="262"/>
      <c r="E37" s="262"/>
      <c r="F37" s="262"/>
      <c r="I37" t="s">
        <v>34</v>
      </c>
    </row>
    <row r="38" spans="1:9" x14ac:dyDescent="0.3">
      <c r="A38" t="s">
        <v>44</v>
      </c>
      <c r="B38" t="s">
        <v>28</v>
      </c>
      <c r="C38" t="s">
        <v>16</v>
      </c>
      <c r="I38" t="s">
        <v>39</v>
      </c>
    </row>
    <row r="39" spans="1:9" x14ac:dyDescent="0.3">
      <c r="I39" t="s">
        <v>40</v>
      </c>
    </row>
    <row r="41" spans="1:9" x14ac:dyDescent="0.3">
      <c r="A41" t="s">
        <v>45</v>
      </c>
      <c r="B41">
        <f>SUM(B39:B40)</f>
        <v>0</v>
      </c>
    </row>
    <row r="43" spans="1:9" x14ac:dyDescent="0.3">
      <c r="A43" s="262" t="s">
        <v>42</v>
      </c>
      <c r="B43" s="262"/>
      <c r="C43" s="262"/>
      <c r="D43" s="262"/>
      <c r="E43" s="262"/>
      <c r="F43" s="262"/>
    </row>
    <row r="44" spans="1:9" x14ac:dyDescent="0.3">
      <c r="A44" s="262"/>
      <c r="B44" s="262"/>
      <c r="C44" s="262"/>
      <c r="D44" s="262"/>
      <c r="E44" s="262"/>
      <c r="F44" s="262"/>
    </row>
    <row r="45" spans="1:9" x14ac:dyDescent="0.3">
      <c r="A45" t="s">
        <v>44</v>
      </c>
      <c r="B45" t="s">
        <v>28</v>
      </c>
      <c r="C45" t="s">
        <v>16</v>
      </c>
    </row>
    <row r="48" spans="1:9" x14ac:dyDescent="0.3">
      <c r="A48" t="s">
        <v>46</v>
      </c>
      <c r="B48">
        <f>SUM(B46:B47)</f>
        <v>0</v>
      </c>
    </row>
    <row r="50" spans="1:6" x14ac:dyDescent="0.3">
      <c r="A50" s="262" t="s">
        <v>47</v>
      </c>
      <c r="B50" s="262"/>
      <c r="C50" s="262"/>
      <c r="D50" s="262"/>
      <c r="E50" s="262"/>
      <c r="F50" s="262"/>
    </row>
    <row r="51" spans="1:6" x14ac:dyDescent="0.3">
      <c r="A51" s="262"/>
      <c r="B51" s="262"/>
      <c r="C51" s="262"/>
      <c r="D51" s="262"/>
      <c r="E51" s="262"/>
      <c r="F51" s="262"/>
    </row>
    <row r="52" spans="1:6" x14ac:dyDescent="0.3">
      <c r="A52" s="21" t="s">
        <v>14</v>
      </c>
    </row>
    <row r="53" spans="1:6" x14ac:dyDescent="0.3">
      <c r="A53" t="s">
        <v>17</v>
      </c>
      <c r="B53" s="20">
        <f>B17</f>
        <v>0</v>
      </c>
    </row>
    <row r="54" spans="1:6" x14ac:dyDescent="0.3">
      <c r="A54" t="s">
        <v>42</v>
      </c>
      <c r="B54">
        <f>B48</f>
        <v>0</v>
      </c>
    </row>
    <row r="55" spans="1:6" x14ac:dyDescent="0.3">
      <c r="A55" t="s">
        <v>1</v>
      </c>
      <c r="B55" s="20">
        <f>SUM(B53:B54)</f>
        <v>0</v>
      </c>
    </row>
    <row r="57" spans="1:6" x14ac:dyDescent="0.3">
      <c r="A57" s="21" t="s">
        <v>15</v>
      </c>
    </row>
    <row r="58" spans="1:6" x14ac:dyDescent="0.3">
      <c r="A58" t="s">
        <v>31</v>
      </c>
      <c r="B58" s="20">
        <f>B34</f>
        <v>3283.7599999999998</v>
      </c>
    </row>
    <row r="59" spans="1:6" x14ac:dyDescent="0.3">
      <c r="A59" t="s">
        <v>43</v>
      </c>
      <c r="B59">
        <f>B41</f>
        <v>0</v>
      </c>
    </row>
    <row r="60" spans="1:6" x14ac:dyDescent="0.3">
      <c r="A60" t="s">
        <v>1</v>
      </c>
      <c r="B60" s="20">
        <f>SUM(B58:B59)</f>
        <v>3283.7599999999998</v>
      </c>
    </row>
    <row r="61" spans="1:6" x14ac:dyDescent="0.3">
      <c r="B61" s="20"/>
    </row>
    <row r="62" spans="1:6" x14ac:dyDescent="0.3">
      <c r="A62" s="22" t="s">
        <v>48</v>
      </c>
      <c r="B62" s="23">
        <f>SUM(B55-B60)</f>
        <v>-3283.7599999999998</v>
      </c>
    </row>
  </sheetData>
  <mergeCells count="8">
    <mergeCell ref="A43:F44"/>
    <mergeCell ref="A50:F51"/>
    <mergeCell ref="G8:H8"/>
    <mergeCell ref="M22:N22"/>
    <mergeCell ref="A1:F4"/>
    <mergeCell ref="A5:F6"/>
    <mergeCell ref="A20:F21"/>
    <mergeCell ref="A36:F37"/>
  </mergeCells>
  <dataValidations count="7">
    <dataValidation type="list" allowBlank="1" showInputMessage="1" showErrorMessage="1" sqref="F23:F24" xr:uid="{7C0BCF24-83DD-436C-994E-0793D9C5C301}">
      <formula1>$I$7:$I$15</formula1>
    </dataValidation>
    <dataValidation type="list" allowBlank="1" showInputMessage="1" showErrorMessage="1" sqref="E23 E33" xr:uid="{8E41650D-AD15-4B78-B32A-0E5818EBCD53}">
      <formula1>$I$38:$I$41</formula1>
    </dataValidation>
    <dataValidation type="list" allowBlank="1" showInputMessage="1" showErrorMessage="1" sqref="D9 D11:D14 D16" xr:uid="{13F6484C-B221-4F6B-B7EA-2ABABDA61EFC}">
      <formula1>$I$7:$I$18</formula1>
    </dataValidation>
    <dataValidation type="list" allowBlank="1" showInputMessage="1" showErrorMessage="1" sqref="D10" xr:uid="{BD0ADCAB-1775-43B4-BA89-95BD314C0825}">
      <formula1>$I$7:$I$11</formula1>
    </dataValidation>
    <dataValidation type="list" allowBlank="1" showInputMessage="1" showErrorMessage="1" sqref="A23:A33 M28" xr:uid="{DD12D96D-6898-4032-92CB-9EDE8F967BD5}">
      <formula1>$I$22:$I$37</formula1>
    </dataValidation>
    <dataValidation type="list" allowBlank="1" showInputMessage="1" showErrorMessage="1" sqref="H26" xr:uid="{F75093C4-376C-4018-8253-1196FACC0A1C}">
      <formula1>$I$21:$I$40</formula1>
    </dataValidation>
    <dataValidation type="list" allowBlank="1" showInputMessage="1" showErrorMessage="1" sqref="E24:E32" xr:uid="{AFE54861-90CB-43C2-8EF1-A98B716D0B24}">
      <formula1>$I$33:$I$36</formula1>
    </dataValidation>
  </dataValidations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73F6-8D26-426D-80FB-C55C78F49C8C}">
  <dimension ref="A1:N57"/>
  <sheetViews>
    <sheetView workbookViewId="0">
      <selection activeCell="C24" sqref="C24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8" width="11" customWidth="1"/>
    <col min="9" max="9" width="11" hidden="1" customWidth="1"/>
  </cols>
  <sheetData>
    <row r="1" spans="1:9" ht="13" customHeight="1" x14ac:dyDescent="0.3">
      <c r="A1" s="264" t="s">
        <v>197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148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4" t="s">
        <v>12</v>
      </c>
    </row>
    <row r="9" spans="1:9" x14ac:dyDescent="0.3">
      <c r="A9" s="1" t="s">
        <v>52</v>
      </c>
      <c r="B9" s="2">
        <v>596.41</v>
      </c>
      <c r="C9" s="1"/>
      <c r="E9" s="1" t="s">
        <v>138</v>
      </c>
      <c r="G9" s="1" t="s">
        <v>138</v>
      </c>
      <c r="H9">
        <f>SUMIF(E9:E14,"Fundraising",B9:B14)</f>
        <v>1048.1099999999999</v>
      </c>
      <c r="I9" s="4" t="s">
        <v>13</v>
      </c>
    </row>
    <row r="10" spans="1:9" x14ac:dyDescent="0.3">
      <c r="A10" s="1" t="s">
        <v>52</v>
      </c>
      <c r="B10" s="2">
        <v>451.7</v>
      </c>
      <c r="C10" s="1"/>
      <c r="E10" s="1" t="s">
        <v>138</v>
      </c>
      <c r="G10" t="s">
        <v>137</v>
      </c>
      <c r="H10">
        <f>SUMIF(E9:E15,"Donation",B9:B15)</f>
        <v>0</v>
      </c>
      <c r="I10" t="s">
        <v>36</v>
      </c>
    </row>
    <row r="11" spans="1:9" x14ac:dyDescent="0.3">
      <c r="A11" s="1"/>
      <c r="B11" s="2"/>
      <c r="C11" s="1"/>
      <c r="I11" t="s">
        <v>37</v>
      </c>
    </row>
    <row r="12" spans="1:9" x14ac:dyDescent="0.3">
      <c r="A12" s="167"/>
      <c r="B12" s="2"/>
      <c r="C12" s="3"/>
      <c r="I12" t="s">
        <v>38</v>
      </c>
    </row>
    <row r="13" spans="1:9" x14ac:dyDescent="0.3">
      <c r="A13" s="1"/>
      <c r="B13" s="2"/>
      <c r="C13" s="3"/>
    </row>
    <row r="14" spans="1:9" x14ac:dyDescent="0.3">
      <c r="A14" s="1"/>
      <c r="B14" s="1"/>
      <c r="C14" s="1"/>
    </row>
    <row r="16" spans="1:9" x14ac:dyDescent="0.3">
      <c r="A16" s="1" t="s">
        <v>30</v>
      </c>
      <c r="B16" s="20">
        <f>SUM(B9:B15)</f>
        <v>1048.1099999999999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  <c r="M20" s="263" t="s">
        <v>144</v>
      </c>
      <c r="N20" s="263"/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I21" s="4" t="s">
        <v>4</v>
      </c>
      <c r="M21" s="4" t="s">
        <v>5</v>
      </c>
      <c r="N21">
        <f>SUMIF(A20:A28,"Mileage &amp; Travel",B20:B28)</f>
        <v>0</v>
      </c>
    </row>
    <row r="22" spans="1:14" x14ac:dyDescent="0.3">
      <c r="A22" t="s">
        <v>8</v>
      </c>
      <c r="B22">
        <v>18</v>
      </c>
      <c r="C22" s="1" t="s">
        <v>51</v>
      </c>
      <c r="D22" t="s">
        <v>52</v>
      </c>
      <c r="E22" t="s">
        <v>40</v>
      </c>
      <c r="I22" s="4" t="s">
        <v>5</v>
      </c>
      <c r="M22" t="s">
        <v>3</v>
      </c>
      <c r="N22">
        <f>SUMIF(A19:A27,"Stationary",B19:B27)</f>
        <v>0</v>
      </c>
    </row>
    <row r="23" spans="1:14" x14ac:dyDescent="0.3">
      <c r="A23" t="s">
        <v>6</v>
      </c>
      <c r="B23">
        <v>3506.37</v>
      </c>
      <c r="C23" s="1" t="s">
        <v>198</v>
      </c>
      <c r="D23" t="s">
        <v>50</v>
      </c>
      <c r="E23" t="s">
        <v>40</v>
      </c>
      <c r="I23" s="4" t="s">
        <v>6</v>
      </c>
      <c r="M23" t="s">
        <v>6</v>
      </c>
      <c r="N23">
        <f>SUMIF(A20:A28,"Stock - comfort kits",B20:B28)</f>
        <v>3526.95</v>
      </c>
    </row>
    <row r="24" spans="1:14" x14ac:dyDescent="0.3">
      <c r="A24" t="s">
        <v>6</v>
      </c>
      <c r="B24">
        <v>20.58</v>
      </c>
      <c r="C24" s="1" t="s">
        <v>199</v>
      </c>
      <c r="D24" t="s">
        <v>50</v>
      </c>
      <c r="E24" t="s">
        <v>40</v>
      </c>
      <c r="I24" s="4" t="s">
        <v>7</v>
      </c>
      <c r="M24" s="4" t="s">
        <v>8</v>
      </c>
      <c r="N24">
        <f>SUMIF(A20:A28,"Overheads",B20:B28)</f>
        <v>18</v>
      </c>
    </row>
    <row r="25" spans="1:14" x14ac:dyDescent="0.3">
      <c r="C25" s="166"/>
      <c r="I25" s="4" t="s">
        <v>8</v>
      </c>
      <c r="M25" t="s">
        <v>142</v>
      </c>
      <c r="N25">
        <f>SUMIF(A21:A29,"office expenses",B21:B29)</f>
        <v>0</v>
      </c>
    </row>
    <row r="26" spans="1:14" x14ac:dyDescent="0.3">
      <c r="C26" s="166"/>
      <c r="I26" s="4" t="s">
        <v>5</v>
      </c>
      <c r="M26" s="168" t="s">
        <v>4</v>
      </c>
      <c r="N26">
        <f>SUMIF(A23:A31,"Postage &amp; Packaging",B23:B31)</f>
        <v>0</v>
      </c>
    </row>
    <row r="27" spans="1:14" x14ac:dyDescent="0.3">
      <c r="C27" s="166"/>
      <c r="I27" s="4" t="s">
        <v>7</v>
      </c>
    </row>
    <row r="28" spans="1:14" x14ac:dyDescent="0.3">
      <c r="C28" s="1"/>
      <c r="I28" s="4" t="s">
        <v>8</v>
      </c>
      <c r="N28">
        <f>SUM(N21:N27)</f>
        <v>3544.95</v>
      </c>
    </row>
    <row r="29" spans="1:14" x14ac:dyDescent="0.3">
      <c r="A29" t="s">
        <v>41</v>
      </c>
      <c r="B29" s="20">
        <f>SUM(B22:B28)</f>
        <v>3544.95</v>
      </c>
      <c r="I29" s="4" t="s">
        <v>10</v>
      </c>
    </row>
    <row r="30" spans="1:14" x14ac:dyDescent="0.3">
      <c r="I30" t="s">
        <v>135</v>
      </c>
    </row>
    <row r="31" spans="1:14" x14ac:dyDescent="0.3">
      <c r="A31" s="262" t="s">
        <v>43</v>
      </c>
      <c r="B31" s="262"/>
      <c r="C31" s="262"/>
      <c r="D31" s="262"/>
      <c r="E31" s="262"/>
      <c r="F31" s="262"/>
      <c r="I31" t="s">
        <v>3</v>
      </c>
    </row>
    <row r="32" spans="1:14" x14ac:dyDescent="0.3">
      <c r="A32" s="262"/>
      <c r="B32" s="262"/>
      <c r="C32" s="262"/>
      <c r="D32" s="262"/>
      <c r="E32" s="262"/>
      <c r="F32" s="262"/>
      <c r="I32" t="s">
        <v>34</v>
      </c>
    </row>
    <row r="33" spans="1:9" x14ac:dyDescent="0.3">
      <c r="A33" t="s">
        <v>44</v>
      </c>
      <c r="B33" t="s">
        <v>28</v>
      </c>
      <c r="C33" t="s">
        <v>16</v>
      </c>
      <c r="I33" t="s">
        <v>39</v>
      </c>
    </row>
    <row r="34" spans="1:9" x14ac:dyDescent="0.3">
      <c r="I34" t="s">
        <v>40</v>
      </c>
    </row>
    <row r="36" spans="1:9" x14ac:dyDescent="0.3">
      <c r="A36" t="s">
        <v>45</v>
      </c>
      <c r="B36">
        <f>SUM(B34:B35)</f>
        <v>0</v>
      </c>
    </row>
    <row r="38" spans="1:9" x14ac:dyDescent="0.3">
      <c r="A38" s="262" t="s">
        <v>42</v>
      </c>
      <c r="B38" s="262"/>
      <c r="C38" s="262"/>
      <c r="D38" s="262"/>
      <c r="E38" s="262"/>
      <c r="F38" s="262"/>
    </row>
    <row r="39" spans="1:9" x14ac:dyDescent="0.3">
      <c r="A39" s="262"/>
      <c r="B39" s="262"/>
      <c r="C39" s="262"/>
      <c r="D39" s="262"/>
      <c r="E39" s="262"/>
      <c r="F39" s="262"/>
    </row>
    <row r="40" spans="1:9" x14ac:dyDescent="0.3">
      <c r="A40" t="s">
        <v>44</v>
      </c>
      <c r="B40" t="s">
        <v>28</v>
      </c>
      <c r="C40" t="s">
        <v>16</v>
      </c>
    </row>
    <row r="43" spans="1:9" x14ac:dyDescent="0.3">
      <c r="A43" t="s">
        <v>46</v>
      </c>
      <c r="B43">
        <f>SUM(B41:B42)</f>
        <v>0</v>
      </c>
    </row>
    <row r="45" spans="1:9" x14ac:dyDescent="0.3">
      <c r="A45" s="262" t="s">
        <v>47</v>
      </c>
      <c r="B45" s="262"/>
      <c r="C45" s="262"/>
      <c r="D45" s="262"/>
      <c r="E45" s="262"/>
      <c r="F45" s="262"/>
    </row>
    <row r="46" spans="1:9" x14ac:dyDescent="0.3">
      <c r="A46" s="262"/>
      <c r="B46" s="262"/>
      <c r="C46" s="262"/>
      <c r="D46" s="262"/>
      <c r="E46" s="262"/>
      <c r="F46" s="262"/>
    </row>
    <row r="47" spans="1:9" x14ac:dyDescent="0.3">
      <c r="A47" s="21" t="s">
        <v>14</v>
      </c>
    </row>
    <row r="48" spans="1:9" x14ac:dyDescent="0.3">
      <c r="A48" t="s">
        <v>17</v>
      </c>
      <c r="B48" s="20">
        <f>B16</f>
        <v>1048.1099999999999</v>
      </c>
    </row>
    <row r="49" spans="1:2" x14ac:dyDescent="0.3">
      <c r="A49" t="s">
        <v>42</v>
      </c>
      <c r="B49">
        <f>B43</f>
        <v>0</v>
      </c>
    </row>
    <row r="50" spans="1:2" x14ac:dyDescent="0.3">
      <c r="A50" t="s">
        <v>1</v>
      </c>
      <c r="B50" s="20">
        <f>SUM(B48:B49)</f>
        <v>1048.1099999999999</v>
      </c>
    </row>
    <row r="52" spans="1:2" x14ac:dyDescent="0.3">
      <c r="A52" s="21" t="s">
        <v>15</v>
      </c>
    </row>
    <row r="53" spans="1:2" x14ac:dyDescent="0.3">
      <c r="A53" t="s">
        <v>31</v>
      </c>
      <c r="B53" s="20">
        <f>B29</f>
        <v>3544.95</v>
      </c>
    </row>
    <row r="54" spans="1:2" x14ac:dyDescent="0.3">
      <c r="A54" t="s">
        <v>43</v>
      </c>
      <c r="B54">
        <f>B36</f>
        <v>0</v>
      </c>
    </row>
    <row r="55" spans="1:2" x14ac:dyDescent="0.3">
      <c r="A55" t="s">
        <v>1</v>
      </c>
      <c r="B55" s="20">
        <f>SUM(B53:B54)</f>
        <v>3544.95</v>
      </c>
    </row>
    <row r="56" spans="1:2" x14ac:dyDescent="0.3">
      <c r="B56" s="20"/>
    </row>
    <row r="57" spans="1:2" x14ac:dyDescent="0.3">
      <c r="A57" s="22" t="s">
        <v>48</v>
      </c>
      <c r="B57" s="23">
        <f>SUM(B50-B55)</f>
        <v>-2496.84</v>
      </c>
    </row>
  </sheetData>
  <mergeCells count="8">
    <mergeCell ref="A38:F39"/>
    <mergeCell ref="A45:F46"/>
    <mergeCell ref="G8:H8"/>
    <mergeCell ref="M20:N20"/>
    <mergeCell ref="A1:F4"/>
    <mergeCell ref="A5:F6"/>
    <mergeCell ref="A19:F20"/>
    <mergeCell ref="A31:F32"/>
  </mergeCells>
  <dataValidations count="8">
    <dataValidation type="list" allowBlank="1" showInputMessage="1" showErrorMessage="1" sqref="F22:F23" xr:uid="{97337DB3-FEFE-40E1-8FFC-564DADAB1DC0}">
      <formula1>$I$7:$I$15</formula1>
    </dataValidation>
    <dataValidation type="list" allowBlank="1" showInputMessage="1" showErrorMessage="1" sqref="E22 E27:E28" xr:uid="{B11054F4-008A-44B2-BD62-5663A11A4436}">
      <formula1>$I$33:$I$36</formula1>
    </dataValidation>
    <dataValidation type="list" allowBlank="1" showInputMessage="1" showErrorMessage="1" sqref="D9 D11:D14" xr:uid="{E0C029C8-E4E0-431D-A1DC-DE66F527326F}">
      <formula1>$I$7:$I$17</formula1>
    </dataValidation>
    <dataValidation type="list" allowBlank="1" showInputMessage="1" showErrorMessage="1" sqref="D10" xr:uid="{148ED66B-8B0F-4531-860C-5093B7B16CFB}">
      <formula1>$I$7:$I$11</formula1>
    </dataValidation>
    <dataValidation type="list" allowBlank="1" showInputMessage="1" showErrorMessage="1" sqref="A22 A25:A28" xr:uid="{6CA5BD49-8D67-4A6A-92A3-A1CEFC943E31}">
      <formula1>$I$21:$I$32</formula1>
    </dataValidation>
    <dataValidation type="list" allowBlank="1" showInputMessage="1" showErrorMessage="1" sqref="H24" xr:uid="{3E64CB0D-A3F3-4813-BFD1-0247BC1B4D3C}">
      <formula1>$I$21:$I$36</formula1>
    </dataValidation>
    <dataValidation type="list" allowBlank="1" showInputMessage="1" showErrorMessage="1" sqref="A23:A24 M26" xr:uid="{01DE9911-B2FF-478C-A48C-DD7131104A3F}">
      <formula1>$I$21:$I$37</formula1>
    </dataValidation>
    <dataValidation type="list" allowBlank="1" showInputMessage="1" showErrorMessage="1" sqref="E23:E26" xr:uid="{89C6D72F-C877-48F1-9144-B1E245FEAA38}">
      <formula1>$I$34:$I$37</formula1>
    </dataValidation>
  </dataValidations>
  <pageMargins left="0.75" right="0.75" top="1" bottom="1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9F90-50D4-45B8-9246-1B38E1AF1F1E}">
  <dimension ref="A1:N59"/>
  <sheetViews>
    <sheetView workbookViewId="0">
      <selection activeCell="M24" sqref="M24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9" width="11" customWidth="1"/>
  </cols>
  <sheetData>
    <row r="1" spans="1:9" ht="13" customHeight="1" x14ac:dyDescent="0.3">
      <c r="A1" s="264" t="s">
        <v>191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4" t="s">
        <v>12</v>
      </c>
    </row>
    <row r="9" spans="1:9" x14ac:dyDescent="0.3">
      <c r="A9" s="1" t="s">
        <v>52</v>
      </c>
      <c r="B9" s="2">
        <v>255.76</v>
      </c>
      <c r="C9" s="1"/>
      <c r="E9" s="1" t="s">
        <v>138</v>
      </c>
      <c r="G9" s="1" t="s">
        <v>138</v>
      </c>
      <c r="H9">
        <f>SUMIF(E9:E16,"Fundraising",B9:B16)</f>
        <v>255.76</v>
      </c>
      <c r="I9" s="4" t="s">
        <v>13</v>
      </c>
    </row>
    <row r="10" spans="1:9" x14ac:dyDescent="0.3">
      <c r="A10" s="167"/>
      <c r="B10" s="1"/>
      <c r="C10" s="1"/>
      <c r="G10" t="s">
        <v>137</v>
      </c>
      <c r="H10">
        <f>SUMIF(E9:E17,"Donation",B9:B17)</f>
        <v>0</v>
      </c>
      <c r="I10" t="s">
        <v>36</v>
      </c>
    </row>
    <row r="11" spans="1:9" x14ac:dyDescent="0.3">
      <c r="A11" s="167"/>
      <c r="B11" s="2"/>
      <c r="C11" s="167"/>
      <c r="E11" s="1"/>
      <c r="I11" t="s">
        <v>37</v>
      </c>
    </row>
    <row r="12" spans="1:9" x14ac:dyDescent="0.3">
      <c r="A12" s="1"/>
      <c r="B12" s="2"/>
      <c r="C12" s="167"/>
    </row>
    <row r="13" spans="1:9" x14ac:dyDescent="0.3">
      <c r="A13" s="1"/>
      <c r="B13" s="2"/>
      <c r="C13" s="167"/>
    </row>
    <row r="14" spans="1:9" x14ac:dyDescent="0.3">
      <c r="A14" s="167"/>
      <c r="B14" s="2"/>
      <c r="C14" s="3"/>
      <c r="I14" t="s">
        <v>38</v>
      </c>
    </row>
    <row r="15" spans="1:9" x14ac:dyDescent="0.3">
      <c r="A15" s="167"/>
      <c r="B15" s="2"/>
      <c r="C15" s="3"/>
      <c r="E15" s="1"/>
    </row>
    <row r="16" spans="1:9" x14ac:dyDescent="0.3">
      <c r="A16" s="1"/>
      <c r="B16" s="1"/>
      <c r="C16" s="1"/>
    </row>
    <row r="18" spans="1:14" x14ac:dyDescent="0.3">
      <c r="A18" s="1" t="s">
        <v>30</v>
      </c>
      <c r="B18" s="20">
        <f>SUM(B9:B17)</f>
        <v>255.76</v>
      </c>
    </row>
    <row r="21" spans="1:14" x14ac:dyDescent="0.3">
      <c r="A21" s="262" t="s">
        <v>31</v>
      </c>
      <c r="B21" s="262"/>
      <c r="C21" s="262"/>
      <c r="D21" s="262"/>
      <c r="E21" s="262"/>
      <c r="F21" s="262"/>
    </row>
    <row r="22" spans="1:14" x14ac:dyDescent="0.3">
      <c r="A22" s="262"/>
      <c r="B22" s="262"/>
      <c r="C22" s="262"/>
      <c r="D22" s="262"/>
      <c r="E22" s="262"/>
      <c r="F22" s="262"/>
      <c r="I22" t="s">
        <v>0</v>
      </c>
      <c r="M22" s="263" t="s">
        <v>144</v>
      </c>
      <c r="N22" s="263"/>
    </row>
    <row r="23" spans="1:14" x14ac:dyDescent="0.3">
      <c r="A23" t="s">
        <v>32</v>
      </c>
      <c r="B23" t="s">
        <v>28</v>
      </c>
      <c r="C23" t="s">
        <v>16</v>
      </c>
      <c r="D23" t="s">
        <v>49</v>
      </c>
      <c r="E23" t="s">
        <v>34</v>
      </c>
      <c r="F23" t="s">
        <v>35</v>
      </c>
      <c r="I23" s="4" t="s">
        <v>5</v>
      </c>
      <c r="M23" s="4" t="s">
        <v>10</v>
      </c>
      <c r="N23">
        <f>SUMIF(A22:A30,"Events expenditure",B22:B30)</f>
        <v>206.77</v>
      </c>
    </row>
    <row r="24" spans="1:14" x14ac:dyDescent="0.3">
      <c r="A24" t="s">
        <v>8</v>
      </c>
      <c r="B24">
        <v>18</v>
      </c>
      <c r="C24" s="1" t="s">
        <v>51</v>
      </c>
      <c r="D24" t="s">
        <v>52</v>
      </c>
      <c r="E24" t="s">
        <v>40</v>
      </c>
      <c r="I24" s="4" t="s">
        <v>6</v>
      </c>
      <c r="M24" t="s">
        <v>3</v>
      </c>
      <c r="N24">
        <f>SUMIF(A21:A29,"Stationary",B21:B29)</f>
        <v>0</v>
      </c>
    </row>
    <row r="25" spans="1:14" x14ac:dyDescent="0.3">
      <c r="A25" t="s">
        <v>4</v>
      </c>
      <c r="B25">
        <v>80.180000000000007</v>
      </c>
      <c r="C25" s="165" t="s">
        <v>192</v>
      </c>
      <c r="D25" t="s">
        <v>50</v>
      </c>
      <c r="E25" t="s">
        <v>40</v>
      </c>
      <c r="I25" s="4" t="s">
        <v>7</v>
      </c>
      <c r="M25" t="s">
        <v>6</v>
      </c>
      <c r="N25">
        <f>SUMIF(A22:A30,"Stock - comfort kits",B22:B30)</f>
        <v>355.27</v>
      </c>
    </row>
    <row r="26" spans="1:14" x14ac:dyDescent="0.3">
      <c r="A26" t="s">
        <v>6</v>
      </c>
      <c r="B26">
        <v>121.39</v>
      </c>
      <c r="C26" s="165" t="s">
        <v>193</v>
      </c>
      <c r="D26" t="s">
        <v>50</v>
      </c>
      <c r="E26" t="s">
        <v>40</v>
      </c>
      <c r="I26" s="4" t="s">
        <v>8</v>
      </c>
      <c r="M26" s="4" t="s">
        <v>8</v>
      </c>
      <c r="N26">
        <f>SUMIF(A22:A30,"Overheads",B22:B30)</f>
        <v>18</v>
      </c>
    </row>
    <row r="27" spans="1:14" x14ac:dyDescent="0.3">
      <c r="A27" t="s">
        <v>10</v>
      </c>
      <c r="B27">
        <v>206.77</v>
      </c>
      <c r="C27" s="165" t="s">
        <v>194</v>
      </c>
      <c r="D27" t="s">
        <v>50</v>
      </c>
      <c r="E27" t="s">
        <v>40</v>
      </c>
      <c r="I27" s="4" t="s">
        <v>5</v>
      </c>
      <c r="M27" t="s">
        <v>142</v>
      </c>
      <c r="N27">
        <f>SUMIF(A23:A31,"office expenses",B23:B31)</f>
        <v>0</v>
      </c>
    </row>
    <row r="28" spans="1:14" x14ac:dyDescent="0.3">
      <c r="A28" t="s">
        <v>6</v>
      </c>
      <c r="B28">
        <v>74.209999999999994</v>
      </c>
      <c r="C28" s="165" t="s">
        <v>195</v>
      </c>
      <c r="D28" t="s">
        <v>50</v>
      </c>
      <c r="E28" t="s">
        <v>40</v>
      </c>
      <c r="I28" s="4" t="s">
        <v>8</v>
      </c>
      <c r="M28" t="s">
        <v>135</v>
      </c>
      <c r="N28">
        <f>SUMIF(A24:A32,"Gratuity",B24:B32)</f>
        <v>0</v>
      </c>
    </row>
    <row r="29" spans="1:14" x14ac:dyDescent="0.3">
      <c r="A29" t="s">
        <v>6</v>
      </c>
      <c r="B29">
        <v>159.66999999999999</v>
      </c>
      <c r="C29" s="1" t="s">
        <v>196</v>
      </c>
      <c r="D29" t="s">
        <v>155</v>
      </c>
      <c r="E29" t="s">
        <v>40</v>
      </c>
      <c r="I29" s="4" t="s">
        <v>10</v>
      </c>
      <c r="M29" t="s">
        <v>4</v>
      </c>
      <c r="N29">
        <f>SUMIF(A25:A33,"Postage &amp; Packaging",B25:B33)</f>
        <v>80.180000000000007</v>
      </c>
    </row>
    <row r="30" spans="1:14" x14ac:dyDescent="0.3">
      <c r="C30" s="1"/>
      <c r="I30" t="s">
        <v>141</v>
      </c>
      <c r="N30">
        <f>SUM(N23:N29)</f>
        <v>660.22</v>
      </c>
    </row>
    <row r="31" spans="1:14" x14ac:dyDescent="0.3">
      <c r="A31" t="s">
        <v>41</v>
      </c>
      <c r="B31" s="20">
        <f>SUM(B24:B30)</f>
        <v>660.22</v>
      </c>
      <c r="I31" t="s">
        <v>136</v>
      </c>
    </row>
    <row r="32" spans="1:14" x14ac:dyDescent="0.3">
      <c r="I32" t="s">
        <v>4</v>
      </c>
    </row>
    <row r="33" spans="1:9" x14ac:dyDescent="0.3">
      <c r="A33" s="262" t="s">
        <v>43</v>
      </c>
      <c r="B33" s="262"/>
      <c r="C33" s="262"/>
      <c r="D33" s="262"/>
      <c r="E33" s="262"/>
      <c r="F33" s="262"/>
    </row>
    <row r="34" spans="1:9" x14ac:dyDescent="0.3">
      <c r="A34" s="262"/>
      <c r="B34" s="262"/>
      <c r="C34" s="262"/>
      <c r="D34" s="262"/>
      <c r="E34" s="262"/>
      <c r="F34" s="262"/>
      <c r="I34" t="s">
        <v>34</v>
      </c>
    </row>
    <row r="35" spans="1:9" x14ac:dyDescent="0.3">
      <c r="A35" t="s">
        <v>44</v>
      </c>
      <c r="B35" t="s">
        <v>28</v>
      </c>
      <c r="C35" t="s">
        <v>16</v>
      </c>
      <c r="I35" t="s">
        <v>39</v>
      </c>
    </row>
    <row r="36" spans="1:9" x14ac:dyDescent="0.3">
      <c r="I36" t="s">
        <v>40</v>
      </c>
    </row>
    <row r="38" spans="1:9" x14ac:dyDescent="0.3">
      <c r="A38" t="s">
        <v>45</v>
      </c>
      <c r="B38">
        <f>SUM(B36:B37)</f>
        <v>0</v>
      </c>
    </row>
    <row r="40" spans="1:9" x14ac:dyDescent="0.3">
      <c r="A40" s="262" t="s">
        <v>42</v>
      </c>
      <c r="B40" s="262"/>
      <c r="C40" s="262"/>
      <c r="D40" s="262"/>
      <c r="E40" s="262"/>
      <c r="F40" s="262"/>
    </row>
    <row r="41" spans="1:9" x14ac:dyDescent="0.3">
      <c r="A41" s="262"/>
      <c r="B41" s="262"/>
      <c r="C41" s="262"/>
      <c r="D41" s="262"/>
      <c r="E41" s="262"/>
      <c r="F41" s="262"/>
    </row>
    <row r="42" spans="1:9" x14ac:dyDescent="0.3">
      <c r="A42" t="s">
        <v>44</v>
      </c>
      <c r="B42" t="s">
        <v>28</v>
      </c>
      <c r="C42" t="s">
        <v>16</v>
      </c>
    </row>
    <row r="45" spans="1:9" x14ac:dyDescent="0.3">
      <c r="A45" t="s">
        <v>46</v>
      </c>
      <c r="B45">
        <f>SUM(B43:B44)</f>
        <v>0</v>
      </c>
    </row>
    <row r="47" spans="1:9" x14ac:dyDescent="0.3">
      <c r="A47" s="262" t="s">
        <v>47</v>
      </c>
      <c r="B47" s="262"/>
      <c r="C47" s="262"/>
      <c r="D47" s="262"/>
      <c r="E47" s="262"/>
      <c r="F47" s="262"/>
    </row>
    <row r="48" spans="1:9" x14ac:dyDescent="0.3">
      <c r="A48" s="262"/>
      <c r="B48" s="262"/>
      <c r="C48" s="262"/>
      <c r="D48" s="262"/>
      <c r="E48" s="262"/>
      <c r="F48" s="262"/>
    </row>
    <row r="49" spans="1:2" x14ac:dyDescent="0.3">
      <c r="A49" s="21" t="s">
        <v>14</v>
      </c>
    </row>
    <row r="50" spans="1:2" x14ac:dyDescent="0.3">
      <c r="A50" t="s">
        <v>17</v>
      </c>
      <c r="B50" s="20">
        <f>B18</f>
        <v>255.76</v>
      </c>
    </row>
    <row r="51" spans="1:2" x14ac:dyDescent="0.3">
      <c r="A51" t="s">
        <v>42</v>
      </c>
      <c r="B51">
        <f>B45</f>
        <v>0</v>
      </c>
    </row>
    <row r="52" spans="1:2" x14ac:dyDescent="0.3">
      <c r="A52" t="s">
        <v>1</v>
      </c>
      <c r="B52" s="20">
        <f>SUM(B50:B51)</f>
        <v>255.76</v>
      </c>
    </row>
    <row r="54" spans="1:2" x14ac:dyDescent="0.3">
      <c r="A54" s="21" t="s">
        <v>15</v>
      </c>
    </row>
    <row r="55" spans="1:2" x14ac:dyDescent="0.3">
      <c r="A55" t="s">
        <v>31</v>
      </c>
      <c r="B55" s="20">
        <f>B31</f>
        <v>660.22</v>
      </c>
    </row>
    <row r="56" spans="1:2" x14ac:dyDescent="0.3">
      <c r="A56" t="s">
        <v>43</v>
      </c>
      <c r="B56">
        <f>B38</f>
        <v>0</v>
      </c>
    </row>
    <row r="57" spans="1:2" x14ac:dyDescent="0.3">
      <c r="A57" t="s">
        <v>1</v>
      </c>
      <c r="B57" s="20">
        <f>SUM(B55:B56)</f>
        <v>660.22</v>
      </c>
    </row>
    <row r="58" spans="1:2" x14ac:dyDescent="0.3">
      <c r="B58" s="20"/>
    </row>
    <row r="59" spans="1:2" x14ac:dyDescent="0.3">
      <c r="A59" s="22" t="s">
        <v>48</v>
      </c>
      <c r="B59" s="23">
        <f>SUM(B52-B57)</f>
        <v>-404.46000000000004</v>
      </c>
    </row>
  </sheetData>
  <mergeCells count="8">
    <mergeCell ref="A40:F41"/>
    <mergeCell ref="A47:F48"/>
    <mergeCell ref="G8:H8"/>
    <mergeCell ref="M22:N22"/>
    <mergeCell ref="A1:F4"/>
    <mergeCell ref="A5:F6"/>
    <mergeCell ref="A21:F22"/>
    <mergeCell ref="A33:F34"/>
  </mergeCells>
  <dataValidations count="8">
    <dataValidation type="list" allowBlank="1" showInputMessage="1" showErrorMessage="1" sqref="D11:D16" xr:uid="{385F2AE4-0367-4676-BCBA-02DB949FD89E}">
      <formula1>$I$7:$I$19</formula1>
    </dataValidation>
    <dataValidation type="list" allowBlank="1" showInputMessage="1" showErrorMessage="1" sqref="E24:E30" xr:uid="{135D7DF2-029E-4148-A9B8-01751CE2A2C3}">
      <formula1>$I$35:$I$38</formula1>
    </dataValidation>
    <dataValidation type="list" allowBlank="1" showInputMessage="1" showErrorMessage="1" sqref="F24:F25" xr:uid="{286A36CF-BFA6-49B8-B2E7-366293054A29}">
      <formula1>$I$7:$I$17</formula1>
    </dataValidation>
    <dataValidation type="list" allowBlank="1" showInputMessage="1" showErrorMessage="1" sqref="A24 A28:A30" xr:uid="{86598273-5DA2-4203-8C92-4DA79C2F3561}">
      <formula1>$I$23:$I$34</formula1>
    </dataValidation>
    <dataValidation type="list" allowBlank="1" showInputMessage="1" showErrorMessage="1" sqref="H26" xr:uid="{79AC6158-1A7D-49DE-9AD6-2FAE6485D60D}">
      <formula1>$I$23:$I$38</formula1>
    </dataValidation>
    <dataValidation type="list" allowBlank="1" showInputMessage="1" showErrorMessage="1" sqref="A25 M29" xr:uid="{EF8FC1D2-AF20-4505-A3F9-0C0B691CF869}">
      <formula1>$I$21:$I$36</formula1>
    </dataValidation>
    <dataValidation type="list" allowBlank="1" showInputMessage="1" showErrorMessage="1" sqref="A26:A27" xr:uid="{76396793-E280-403D-9BCD-5C641CC75107}">
      <formula1>$I$23:$I$39</formula1>
    </dataValidation>
    <dataValidation type="list" allowBlank="1" showInputMessage="1" showErrorMessage="1" sqref="I32" xr:uid="{5AA173CF-B15B-48B4-B4C8-AA0AB688C721}">
      <formula1>$I$21:$I$37</formula1>
    </dataValidation>
  </dataValidations>
  <pageMargins left="0.75" right="0.75" top="1" bottom="1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3E6D-1EDE-43CD-8B14-244EC31B0155}">
  <dimension ref="A1:N60"/>
  <sheetViews>
    <sheetView workbookViewId="0">
      <selection sqref="A1:F4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8" width="11" customWidth="1"/>
    <col min="9" max="9" width="11" hidden="1" customWidth="1"/>
  </cols>
  <sheetData>
    <row r="1" spans="1:9" ht="13" customHeight="1" x14ac:dyDescent="0.3">
      <c r="A1" s="264" t="s">
        <v>190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4" t="s">
        <v>12</v>
      </c>
    </row>
    <row r="9" spans="1:9" x14ac:dyDescent="0.3">
      <c r="A9" s="167" t="s">
        <v>145</v>
      </c>
      <c r="B9" s="2">
        <v>14.41</v>
      </c>
      <c r="C9" s="1"/>
      <c r="D9" t="s">
        <v>137</v>
      </c>
      <c r="E9" s="1" t="s">
        <v>138</v>
      </c>
      <c r="G9" s="1" t="s">
        <v>138</v>
      </c>
      <c r="H9">
        <f>SUMIF(E9:E14,"Fundraising",B9:B14)</f>
        <v>14.41</v>
      </c>
      <c r="I9" s="4" t="s">
        <v>13</v>
      </c>
    </row>
    <row r="10" spans="1:9" x14ac:dyDescent="0.3">
      <c r="A10" s="167"/>
      <c r="B10" s="2"/>
      <c r="C10" s="1"/>
      <c r="E10" t="s">
        <v>137</v>
      </c>
      <c r="G10" t="s">
        <v>137</v>
      </c>
      <c r="H10">
        <f>SUMIF(E9:E14,"donation",B9:B14)</f>
        <v>0</v>
      </c>
      <c r="I10" t="s">
        <v>36</v>
      </c>
    </row>
    <row r="11" spans="1:9" x14ac:dyDescent="0.3">
      <c r="A11" s="167"/>
      <c r="B11" s="2"/>
      <c r="C11" s="1"/>
      <c r="E11" t="s">
        <v>137</v>
      </c>
      <c r="I11" t="s">
        <v>37</v>
      </c>
    </row>
    <row r="12" spans="1:9" x14ac:dyDescent="0.3">
      <c r="A12" s="167"/>
      <c r="B12" s="2"/>
      <c r="C12" s="3"/>
      <c r="I12" t="s">
        <v>38</v>
      </c>
    </row>
    <row r="13" spans="1:9" x14ac:dyDescent="0.3">
      <c r="A13" s="167"/>
      <c r="B13" s="2"/>
      <c r="C13" s="1"/>
    </row>
    <row r="14" spans="1:9" x14ac:dyDescent="0.3">
      <c r="A14" s="1"/>
      <c r="B14" s="2"/>
      <c r="C14" s="1"/>
    </row>
    <row r="16" spans="1:9" x14ac:dyDescent="0.3">
      <c r="A16" s="1" t="s">
        <v>30</v>
      </c>
      <c r="B16" s="20">
        <f>SUM(B9:B15)</f>
        <v>14.41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H21" t="s">
        <v>10</v>
      </c>
      <c r="I21" s="4" t="s">
        <v>5</v>
      </c>
      <c r="J21">
        <f>SUMIF(A20:A33,"Events expenditure",B20:B33)</f>
        <v>0</v>
      </c>
      <c r="M21" s="263" t="s">
        <v>144</v>
      </c>
      <c r="N21" s="263"/>
    </row>
    <row r="22" spans="1:14" x14ac:dyDescent="0.3">
      <c r="A22" t="s">
        <v>8</v>
      </c>
      <c r="B22">
        <v>18</v>
      </c>
      <c r="C22" s="1" t="s">
        <v>51</v>
      </c>
      <c r="D22" t="s">
        <v>52</v>
      </c>
      <c r="E22" t="s">
        <v>40</v>
      </c>
      <c r="H22" t="s">
        <v>7</v>
      </c>
      <c r="I22" s="4" t="s">
        <v>6</v>
      </c>
      <c r="J22">
        <f>SUMIF(A21:A34,"Marketing",B21:B34)</f>
        <v>0</v>
      </c>
      <c r="M22" s="4" t="s">
        <v>5</v>
      </c>
      <c r="N22">
        <f>SUMIF(A21:A32,"Mileage &amp; Travel",B21:B32)</f>
        <v>0</v>
      </c>
    </row>
    <row r="23" spans="1:14" x14ac:dyDescent="0.3">
      <c r="A23" t="s">
        <v>141</v>
      </c>
      <c r="B23">
        <v>27.98</v>
      </c>
      <c r="C23" s="165" t="s">
        <v>189</v>
      </c>
      <c r="D23" t="s">
        <v>50</v>
      </c>
      <c r="E23" t="s">
        <v>40</v>
      </c>
      <c r="H23" t="s">
        <v>6</v>
      </c>
      <c r="I23" s="4" t="s">
        <v>7</v>
      </c>
      <c r="J23">
        <f>SUMIF(A21:A28,"Stock - comfort kits",B21:B28)</f>
        <v>0</v>
      </c>
      <c r="M23" t="s">
        <v>3</v>
      </c>
      <c r="N23">
        <f>SUMIF(A20:A31,"Stationary",B20:B31)</f>
        <v>27.98</v>
      </c>
    </row>
    <row r="24" spans="1:14" x14ac:dyDescent="0.3">
      <c r="C24" s="165"/>
      <c r="H24" t="s">
        <v>8</v>
      </c>
      <c r="I24" s="4" t="s">
        <v>8</v>
      </c>
      <c r="J24">
        <f>SUMIF(A21:A34,"Overheads",B21:B34)</f>
        <v>18</v>
      </c>
      <c r="M24" t="s">
        <v>6</v>
      </c>
      <c r="N24">
        <f>SUMIF(A21:A32,"Stock - comfort kits",B21:B32)</f>
        <v>0</v>
      </c>
    </row>
    <row r="25" spans="1:14" x14ac:dyDescent="0.3">
      <c r="C25" s="165"/>
      <c r="H25" t="s">
        <v>3</v>
      </c>
      <c r="I25" s="4" t="s">
        <v>5</v>
      </c>
      <c r="J25">
        <f ca="1">SUMIF(A21:A34,"Stationary",B21:B28)</f>
        <v>27.98</v>
      </c>
      <c r="M25" s="4" t="s">
        <v>8</v>
      </c>
      <c r="N25">
        <f>SUMIF(A21:A32,"Overheads",B21:B32)</f>
        <v>18</v>
      </c>
    </row>
    <row r="26" spans="1:14" x14ac:dyDescent="0.3">
      <c r="C26" s="165"/>
      <c r="H26" t="s">
        <v>1</v>
      </c>
      <c r="I26" s="4" t="s">
        <v>8</v>
      </c>
      <c r="J26">
        <f ca="1">SUM(J21:J25)</f>
        <v>45.980000000000004</v>
      </c>
      <c r="M26" t="s">
        <v>4</v>
      </c>
      <c r="N26">
        <f>SUMIF(A22:A33,"Postage &amp; Packaging",B22:B33)</f>
        <v>0</v>
      </c>
    </row>
    <row r="27" spans="1:14" x14ac:dyDescent="0.3">
      <c r="C27" s="165"/>
      <c r="I27" s="4" t="s">
        <v>10</v>
      </c>
    </row>
    <row r="28" spans="1:14" x14ac:dyDescent="0.3">
      <c r="C28" s="165"/>
      <c r="I28" t="s">
        <v>141</v>
      </c>
    </row>
    <row r="29" spans="1:14" x14ac:dyDescent="0.3">
      <c r="C29" s="165"/>
      <c r="I29" t="s">
        <v>136</v>
      </c>
    </row>
    <row r="30" spans="1:14" x14ac:dyDescent="0.3">
      <c r="C30" s="165"/>
      <c r="I30" s="4"/>
    </row>
    <row r="31" spans="1:14" x14ac:dyDescent="0.3">
      <c r="C31" s="165"/>
      <c r="I31" s="4" t="s">
        <v>8</v>
      </c>
    </row>
    <row r="32" spans="1:14" x14ac:dyDescent="0.3">
      <c r="A32" t="s">
        <v>41</v>
      </c>
      <c r="B32" s="20">
        <f>SUM(B22:B31)</f>
        <v>45.980000000000004</v>
      </c>
      <c r="I32" s="4" t="s">
        <v>10</v>
      </c>
      <c r="N32">
        <f>SUM(N22:N31)</f>
        <v>45.980000000000004</v>
      </c>
    </row>
    <row r="34" spans="1:9" x14ac:dyDescent="0.3">
      <c r="A34" s="262" t="s">
        <v>43</v>
      </c>
      <c r="B34" s="262"/>
      <c r="C34" s="262"/>
      <c r="D34" s="262"/>
      <c r="E34" s="262"/>
      <c r="F34" s="262"/>
    </row>
    <row r="35" spans="1:9" x14ac:dyDescent="0.3">
      <c r="A35" s="262"/>
      <c r="B35" s="262"/>
      <c r="C35" s="262"/>
      <c r="D35" s="262"/>
      <c r="E35" s="262"/>
      <c r="F35" s="262"/>
      <c r="I35" t="s">
        <v>34</v>
      </c>
    </row>
    <row r="36" spans="1:9" x14ac:dyDescent="0.3">
      <c r="A36" t="s">
        <v>44</v>
      </c>
      <c r="B36" t="s">
        <v>28</v>
      </c>
      <c r="C36" t="s">
        <v>16</v>
      </c>
      <c r="I36" t="s">
        <v>39</v>
      </c>
    </row>
    <row r="37" spans="1:9" x14ac:dyDescent="0.3">
      <c r="I37" t="s">
        <v>40</v>
      </c>
    </row>
    <row r="39" spans="1:9" x14ac:dyDescent="0.3">
      <c r="A39" t="s">
        <v>45</v>
      </c>
      <c r="B39">
        <f>SUM(B37:B38)</f>
        <v>0</v>
      </c>
    </row>
    <row r="41" spans="1:9" x14ac:dyDescent="0.3">
      <c r="A41" s="262" t="s">
        <v>42</v>
      </c>
      <c r="B41" s="262"/>
      <c r="C41" s="262"/>
      <c r="D41" s="262"/>
      <c r="E41" s="262"/>
      <c r="F41" s="262"/>
    </row>
    <row r="42" spans="1:9" x14ac:dyDescent="0.3">
      <c r="A42" s="262"/>
      <c r="B42" s="262"/>
      <c r="C42" s="262"/>
      <c r="D42" s="262"/>
      <c r="E42" s="262"/>
      <c r="F42" s="262"/>
    </row>
    <row r="43" spans="1:9" x14ac:dyDescent="0.3">
      <c r="A43" t="s">
        <v>44</v>
      </c>
      <c r="B43" t="s">
        <v>28</v>
      </c>
      <c r="C43" t="s">
        <v>16</v>
      </c>
    </row>
    <row r="46" spans="1:9" x14ac:dyDescent="0.3">
      <c r="A46" t="s">
        <v>46</v>
      </c>
      <c r="B46">
        <f>SUM(B44:B45)</f>
        <v>0</v>
      </c>
    </row>
    <row r="48" spans="1:9" x14ac:dyDescent="0.3">
      <c r="A48" s="262" t="s">
        <v>47</v>
      </c>
      <c r="B48" s="262"/>
      <c r="C48" s="262"/>
      <c r="D48" s="262"/>
      <c r="E48" s="262"/>
      <c r="F48" s="262"/>
    </row>
    <row r="49" spans="1:6" x14ac:dyDescent="0.3">
      <c r="A49" s="262"/>
      <c r="B49" s="262"/>
      <c r="C49" s="262"/>
      <c r="D49" s="262"/>
      <c r="E49" s="262"/>
      <c r="F49" s="262"/>
    </row>
    <row r="50" spans="1:6" x14ac:dyDescent="0.3">
      <c r="A50" s="21" t="s">
        <v>14</v>
      </c>
    </row>
    <row r="51" spans="1:6" x14ac:dyDescent="0.3">
      <c r="A51" t="s">
        <v>17</v>
      </c>
      <c r="B51" s="20">
        <f>B16</f>
        <v>14.41</v>
      </c>
    </row>
    <row r="52" spans="1:6" x14ac:dyDescent="0.3">
      <c r="A52" t="s">
        <v>42</v>
      </c>
      <c r="B52">
        <f>B46</f>
        <v>0</v>
      </c>
    </row>
    <row r="53" spans="1:6" x14ac:dyDescent="0.3">
      <c r="A53" t="s">
        <v>1</v>
      </c>
      <c r="B53" s="20">
        <f>SUM(B51:B52)</f>
        <v>14.41</v>
      </c>
    </row>
    <row r="55" spans="1:6" x14ac:dyDescent="0.3">
      <c r="A55" s="21" t="s">
        <v>15</v>
      </c>
    </row>
    <row r="56" spans="1:6" x14ac:dyDescent="0.3">
      <c r="A56" t="s">
        <v>31</v>
      </c>
      <c r="B56" s="20">
        <f>B32</f>
        <v>45.980000000000004</v>
      </c>
    </row>
    <row r="57" spans="1:6" x14ac:dyDescent="0.3">
      <c r="A57" t="s">
        <v>43</v>
      </c>
      <c r="B57">
        <f>B39</f>
        <v>0</v>
      </c>
    </row>
    <row r="58" spans="1:6" x14ac:dyDescent="0.3">
      <c r="A58" t="s">
        <v>1</v>
      </c>
      <c r="B58" s="20">
        <f>SUM(B56:B57)</f>
        <v>45.980000000000004</v>
      </c>
    </row>
    <row r="59" spans="1:6" x14ac:dyDescent="0.3">
      <c r="B59" s="20"/>
    </row>
    <row r="60" spans="1:6" x14ac:dyDescent="0.3">
      <c r="A60" s="22" t="s">
        <v>48</v>
      </c>
      <c r="B60" s="23">
        <f>SUM(B53-B58)</f>
        <v>-31.570000000000004</v>
      </c>
    </row>
  </sheetData>
  <mergeCells count="8">
    <mergeCell ref="A41:F42"/>
    <mergeCell ref="A48:F49"/>
    <mergeCell ref="G8:H8"/>
    <mergeCell ref="M21:N21"/>
    <mergeCell ref="A1:F4"/>
    <mergeCell ref="A5:F6"/>
    <mergeCell ref="A19:F20"/>
    <mergeCell ref="A34:F35"/>
  </mergeCells>
  <dataValidations count="7">
    <dataValidation type="list" allowBlank="1" showInputMessage="1" showErrorMessage="1" sqref="F22:F23" xr:uid="{18719B4E-6258-4294-A363-4D0E332ED01A}">
      <formula1>$I$7:$I$15</formula1>
    </dataValidation>
    <dataValidation type="list" allowBlank="1" showInputMessage="1" showErrorMessage="1" sqref="E22:E31" xr:uid="{5EAAB41F-B4F1-40DA-858E-A938D1C4311C}">
      <formula1>$I$36:$I$39</formula1>
    </dataValidation>
    <dataValidation type="list" allowBlank="1" showInputMessage="1" showErrorMessage="1" sqref="D11:D14" xr:uid="{2CB17226-1FD7-4C1B-A745-9697234869B3}">
      <formula1>$I$7:$I$17</formula1>
    </dataValidation>
    <dataValidation type="list" allowBlank="1" showInputMessage="1" showErrorMessage="1" sqref="D10" xr:uid="{D3858071-279C-4090-B2BD-8B4207CF53B5}">
      <formula1>$I$7:$I$11</formula1>
    </dataValidation>
    <dataValidation type="list" allowBlank="1" showInputMessage="1" showErrorMessage="1" sqref="A22:A23 A25:A31 M26" xr:uid="{33C4C8E6-6799-4D64-A62C-FB4679B38813}">
      <formula1>$I$21:$I$35</formula1>
    </dataValidation>
    <dataValidation type="list" allowBlank="1" showInputMessage="1" showErrorMessage="1" sqref="H24" xr:uid="{8658B5F4-75A8-4BF1-ACD2-22A82E775FF0}">
      <formula1>$I$21:$I$39</formula1>
    </dataValidation>
    <dataValidation type="list" allowBlank="1" showInputMessage="1" showErrorMessage="1" sqref="A24" xr:uid="{07198DE1-BC0D-4C41-BE2C-05EE65F10039}">
      <formula1>$I$21:$I$33</formula1>
    </dataValidation>
  </dataValidations>
  <pageMargins left="0.75" right="0.75" top="1" bottom="1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B7AF-8868-4AA6-9F99-C0019F7944A2}">
  <dimension ref="A1:N57"/>
  <sheetViews>
    <sheetView workbookViewId="0">
      <selection activeCell="D13" sqref="D13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8" width="11" customWidth="1"/>
    <col min="9" max="9" width="11" hidden="1" customWidth="1"/>
  </cols>
  <sheetData>
    <row r="1" spans="1:9" ht="13" customHeight="1" x14ac:dyDescent="0.3">
      <c r="A1" s="264" t="s">
        <v>188</v>
      </c>
      <c r="B1" s="265"/>
      <c r="C1" s="265"/>
      <c r="D1" s="265"/>
      <c r="E1" s="265"/>
      <c r="F1" s="265"/>
    </row>
    <row r="2" spans="1:9" x14ac:dyDescent="0.3">
      <c r="A2" s="265"/>
      <c r="B2" s="265"/>
      <c r="C2" s="265"/>
      <c r="D2" s="265"/>
      <c r="E2" s="265"/>
      <c r="F2" s="265"/>
    </row>
    <row r="3" spans="1:9" x14ac:dyDescent="0.3">
      <c r="A3" s="265"/>
      <c r="B3" s="265"/>
      <c r="C3" s="265"/>
      <c r="D3" s="265"/>
      <c r="E3" s="265"/>
      <c r="F3" s="265"/>
    </row>
    <row r="4" spans="1:9" x14ac:dyDescent="0.3">
      <c r="A4" s="265"/>
      <c r="B4" s="265"/>
      <c r="C4" s="265"/>
      <c r="D4" s="265"/>
      <c r="E4" s="265"/>
      <c r="F4" s="265"/>
    </row>
    <row r="5" spans="1:9" x14ac:dyDescent="0.3">
      <c r="A5" s="262" t="s">
        <v>29</v>
      </c>
      <c r="B5" s="262"/>
      <c r="C5" s="262"/>
      <c r="D5" s="262"/>
      <c r="E5" s="262"/>
      <c r="F5" s="262"/>
    </row>
    <row r="6" spans="1:9" x14ac:dyDescent="0.3">
      <c r="A6" s="262"/>
      <c r="B6" s="262"/>
      <c r="C6" s="262"/>
      <c r="D6" s="262"/>
      <c r="E6" s="262"/>
      <c r="F6" s="262"/>
      <c r="I6" t="s">
        <v>35</v>
      </c>
    </row>
    <row r="7" spans="1:9" x14ac:dyDescent="0.3">
      <c r="G7" s="263" t="s">
        <v>143</v>
      </c>
      <c r="H7" s="263"/>
      <c r="I7" s="4" t="s">
        <v>11</v>
      </c>
    </row>
    <row r="8" spans="1:9" x14ac:dyDescent="0.3">
      <c r="A8" t="s">
        <v>33</v>
      </c>
      <c r="B8" t="s">
        <v>28</v>
      </c>
      <c r="C8" t="s">
        <v>16</v>
      </c>
      <c r="D8" t="s">
        <v>35</v>
      </c>
      <c r="G8" s="1" t="s">
        <v>138</v>
      </c>
      <c r="H8">
        <f>SUMIF(E8:E13,"Fundraising",B8:B13)</f>
        <v>456.12</v>
      </c>
      <c r="I8" s="4" t="s">
        <v>12</v>
      </c>
    </row>
    <row r="9" spans="1:9" x14ac:dyDescent="0.3">
      <c r="A9" s="167" t="s">
        <v>145</v>
      </c>
      <c r="B9" s="2">
        <v>456.12</v>
      </c>
      <c r="C9" s="1"/>
      <c r="E9" s="1" t="s">
        <v>138</v>
      </c>
      <c r="G9" t="s">
        <v>137</v>
      </c>
      <c r="H9">
        <f>SUMIF(E9:E14,"Donation",B9:B14)</f>
        <v>14.41</v>
      </c>
      <c r="I9" s="4" t="s">
        <v>13</v>
      </c>
    </row>
    <row r="10" spans="1:9" x14ac:dyDescent="0.3">
      <c r="A10" s="167" t="s">
        <v>145</v>
      </c>
      <c r="B10" s="1">
        <v>14.41</v>
      </c>
      <c r="E10" t="s">
        <v>137</v>
      </c>
      <c r="I10" t="s">
        <v>36</v>
      </c>
    </row>
    <row r="11" spans="1:9" x14ac:dyDescent="0.3">
      <c r="A11" s="167"/>
      <c r="B11" s="2"/>
      <c r="I11" t="s">
        <v>37</v>
      </c>
    </row>
    <row r="12" spans="1:9" x14ac:dyDescent="0.3">
      <c r="A12" s="1"/>
      <c r="B12" s="2"/>
      <c r="C12" s="3"/>
      <c r="I12" t="s">
        <v>38</v>
      </c>
    </row>
    <row r="13" spans="1:9" x14ac:dyDescent="0.3">
      <c r="A13" s="3"/>
      <c r="B13" s="2"/>
      <c r="C13" s="3"/>
    </row>
    <row r="14" spans="1:9" x14ac:dyDescent="0.3">
      <c r="A14" s="1"/>
      <c r="B14" s="1"/>
      <c r="C14" s="1"/>
    </row>
    <row r="16" spans="1:9" x14ac:dyDescent="0.3">
      <c r="A16" s="1" t="s">
        <v>30</v>
      </c>
      <c r="B16" s="20">
        <f>SUM(B9:B15)</f>
        <v>470.53000000000003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  <c r="M20" s="263" t="s">
        <v>144</v>
      </c>
      <c r="N20" s="263"/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H21" s="168" t="s">
        <v>140</v>
      </c>
      <c r="I21" t="s">
        <v>3</v>
      </c>
      <c r="J21">
        <f>B23</f>
        <v>0</v>
      </c>
      <c r="M21" s="4" t="s">
        <v>5</v>
      </c>
      <c r="N21">
        <f>SUMIF(A20:A28,"Mileage &amp; Travel",B20:B28)</f>
        <v>0</v>
      </c>
    </row>
    <row r="22" spans="1:14" x14ac:dyDescent="0.3">
      <c r="A22" t="s">
        <v>8</v>
      </c>
      <c r="B22">
        <v>18</v>
      </c>
      <c r="C22" s="1" t="s">
        <v>51</v>
      </c>
      <c r="D22" t="s">
        <v>52</v>
      </c>
      <c r="E22" t="s">
        <v>40</v>
      </c>
      <c r="H22" t="s">
        <v>10</v>
      </c>
      <c r="I22" s="4" t="s">
        <v>4</v>
      </c>
      <c r="J22">
        <f>SUMIF(A21:A31,"Events expenditure",B21:B31)</f>
        <v>0</v>
      </c>
      <c r="M22" t="s">
        <v>3</v>
      </c>
      <c r="N22">
        <f>SUMIF(A19:A27,"Stationary",B19:B27)</f>
        <v>0</v>
      </c>
    </row>
    <row r="23" spans="1:14" x14ac:dyDescent="0.3">
      <c r="C23" s="165"/>
      <c r="H23" t="s">
        <v>7</v>
      </c>
      <c r="I23" s="4" t="s">
        <v>5</v>
      </c>
      <c r="J23">
        <f>SUMIF(A22:A32,"Marketing",B22:B32)</f>
        <v>0</v>
      </c>
      <c r="M23" t="s">
        <v>6</v>
      </c>
      <c r="N23">
        <f>SUMIF(A20:A28,"Stock - comfort kits",B20:B28)</f>
        <v>0</v>
      </c>
    </row>
    <row r="24" spans="1:14" x14ac:dyDescent="0.3">
      <c r="C24" s="165"/>
      <c r="H24" t="s">
        <v>6</v>
      </c>
      <c r="I24" s="4" t="s">
        <v>6</v>
      </c>
      <c r="J24">
        <f>SUMIF(A22:A28,"Stock - comfort kits",B22:B28)</f>
        <v>0</v>
      </c>
      <c r="M24" s="4" t="s">
        <v>8</v>
      </c>
      <c r="N24">
        <f>SUMIF(A20:A28,"Overheads",B20:B28)</f>
        <v>18</v>
      </c>
    </row>
    <row r="25" spans="1:14" x14ac:dyDescent="0.3">
      <c r="C25" s="165"/>
      <c r="H25" t="s">
        <v>8</v>
      </c>
      <c r="I25" s="4" t="s">
        <v>7</v>
      </c>
      <c r="J25">
        <f>SUMIF(A22:A32,"Overheads",B22:B32)</f>
        <v>18</v>
      </c>
      <c r="M25" t="s">
        <v>142</v>
      </c>
      <c r="N25">
        <f>SUMIF(A21:A29,"office expenses",B21:B29)</f>
        <v>0</v>
      </c>
    </row>
    <row r="26" spans="1:14" x14ac:dyDescent="0.3">
      <c r="C26" s="165"/>
      <c r="H26" t="s">
        <v>3</v>
      </c>
      <c r="I26" s="4" t="s">
        <v>8</v>
      </c>
      <c r="J26">
        <f ca="1">SUMIF(A22:A32,"Stationary",B22:B28)</f>
        <v>0</v>
      </c>
      <c r="M26" t="s">
        <v>4</v>
      </c>
      <c r="N26">
        <f>SUMIF(A22:A30,"Postage &amp; Packaging",B22:B30)</f>
        <v>0</v>
      </c>
    </row>
    <row r="27" spans="1:14" x14ac:dyDescent="0.3">
      <c r="C27" s="1"/>
      <c r="H27" t="s">
        <v>1</v>
      </c>
      <c r="I27" s="4" t="s">
        <v>5</v>
      </c>
      <c r="J27">
        <f ca="1">SUM(J21:J26)</f>
        <v>18</v>
      </c>
      <c r="M27" t="s">
        <v>136</v>
      </c>
      <c r="N27">
        <f>SUMIF(A23:A31,"Gratuities",B23:B31)</f>
        <v>0</v>
      </c>
    </row>
    <row r="28" spans="1:14" x14ac:dyDescent="0.3">
      <c r="C28" s="1"/>
      <c r="I28" s="4" t="s">
        <v>8</v>
      </c>
      <c r="N28">
        <f>SUM(N21:N27)</f>
        <v>18</v>
      </c>
    </row>
    <row r="29" spans="1:14" x14ac:dyDescent="0.3">
      <c r="A29" t="s">
        <v>41</v>
      </c>
      <c r="B29" s="20">
        <f>SUM(B22:B28)</f>
        <v>18</v>
      </c>
      <c r="I29" s="4" t="s">
        <v>10</v>
      </c>
    </row>
    <row r="30" spans="1:14" x14ac:dyDescent="0.3">
      <c r="I30" s="168" t="s">
        <v>136</v>
      </c>
    </row>
    <row r="31" spans="1:14" x14ac:dyDescent="0.3">
      <c r="A31" s="262" t="s">
        <v>43</v>
      </c>
      <c r="B31" s="262"/>
      <c r="C31" s="262"/>
      <c r="D31" s="262"/>
      <c r="E31" s="262"/>
      <c r="F31" s="262"/>
    </row>
    <row r="32" spans="1:14" x14ac:dyDescent="0.3">
      <c r="A32" s="262"/>
      <c r="B32" s="262"/>
      <c r="C32" s="262"/>
      <c r="D32" s="262"/>
      <c r="E32" s="262"/>
      <c r="F32" s="262"/>
      <c r="I32" t="s">
        <v>34</v>
      </c>
    </row>
    <row r="33" spans="1:9" x14ac:dyDescent="0.3">
      <c r="A33" t="s">
        <v>44</v>
      </c>
      <c r="B33" t="s">
        <v>28</v>
      </c>
      <c r="C33" t="s">
        <v>16</v>
      </c>
      <c r="I33" t="s">
        <v>39</v>
      </c>
    </row>
    <row r="34" spans="1:9" x14ac:dyDescent="0.3">
      <c r="I34" t="s">
        <v>40</v>
      </c>
    </row>
    <row r="36" spans="1:9" x14ac:dyDescent="0.3">
      <c r="A36" t="s">
        <v>45</v>
      </c>
      <c r="B36">
        <f>SUM(B34:B35)</f>
        <v>0</v>
      </c>
    </row>
    <row r="38" spans="1:9" x14ac:dyDescent="0.3">
      <c r="A38" s="262" t="s">
        <v>42</v>
      </c>
      <c r="B38" s="262"/>
      <c r="C38" s="262"/>
      <c r="D38" s="262"/>
      <c r="E38" s="262"/>
      <c r="F38" s="262"/>
    </row>
    <row r="39" spans="1:9" x14ac:dyDescent="0.3">
      <c r="A39" s="262"/>
      <c r="B39" s="262"/>
      <c r="C39" s="262"/>
      <c r="D39" s="262"/>
      <c r="E39" s="262"/>
      <c r="F39" s="262"/>
    </row>
    <row r="40" spans="1:9" x14ac:dyDescent="0.3">
      <c r="A40" t="s">
        <v>44</v>
      </c>
      <c r="B40" t="s">
        <v>28</v>
      </c>
      <c r="C40" t="s">
        <v>16</v>
      </c>
    </row>
    <row r="43" spans="1:9" x14ac:dyDescent="0.3">
      <c r="A43" t="s">
        <v>46</v>
      </c>
      <c r="B43">
        <f>SUM(B41:B42)</f>
        <v>0</v>
      </c>
    </row>
    <row r="45" spans="1:9" x14ac:dyDescent="0.3">
      <c r="A45" s="262" t="s">
        <v>47</v>
      </c>
      <c r="B45" s="262"/>
      <c r="C45" s="262"/>
      <c r="D45" s="262"/>
      <c r="E45" s="262"/>
      <c r="F45" s="262"/>
    </row>
    <row r="46" spans="1:9" x14ac:dyDescent="0.3">
      <c r="A46" s="262"/>
      <c r="B46" s="262"/>
      <c r="C46" s="262"/>
      <c r="D46" s="262"/>
      <c r="E46" s="262"/>
      <c r="F46" s="262"/>
    </row>
    <row r="47" spans="1:9" x14ac:dyDescent="0.3">
      <c r="A47" s="21" t="s">
        <v>14</v>
      </c>
    </row>
    <row r="48" spans="1:9" x14ac:dyDescent="0.3">
      <c r="A48" t="s">
        <v>17</v>
      </c>
      <c r="B48" s="20">
        <f>B16</f>
        <v>470.53000000000003</v>
      </c>
    </row>
    <row r="49" spans="1:2" x14ac:dyDescent="0.3">
      <c r="A49" t="s">
        <v>42</v>
      </c>
      <c r="B49">
        <f>B43</f>
        <v>0</v>
      </c>
    </row>
    <row r="50" spans="1:2" x14ac:dyDescent="0.3">
      <c r="A50" t="s">
        <v>1</v>
      </c>
      <c r="B50" s="20">
        <f>SUM(B48:B49)</f>
        <v>470.53000000000003</v>
      </c>
    </row>
    <row r="52" spans="1:2" x14ac:dyDescent="0.3">
      <c r="A52" s="21" t="s">
        <v>15</v>
      </c>
    </row>
    <row r="53" spans="1:2" x14ac:dyDescent="0.3">
      <c r="A53" t="s">
        <v>31</v>
      </c>
      <c r="B53" s="20">
        <f>B29</f>
        <v>18</v>
      </c>
    </row>
    <row r="54" spans="1:2" x14ac:dyDescent="0.3">
      <c r="A54" t="s">
        <v>43</v>
      </c>
      <c r="B54">
        <f>B36</f>
        <v>0</v>
      </c>
    </row>
    <row r="55" spans="1:2" x14ac:dyDescent="0.3">
      <c r="A55" t="s">
        <v>1</v>
      </c>
      <c r="B55" s="20">
        <f>SUM(B53:B54)</f>
        <v>18</v>
      </c>
    </row>
    <row r="56" spans="1:2" x14ac:dyDescent="0.3">
      <c r="B56" s="20"/>
    </row>
    <row r="57" spans="1:2" x14ac:dyDescent="0.3">
      <c r="A57" s="22" t="s">
        <v>48</v>
      </c>
      <c r="B57" s="23">
        <f>SUM(B50-B55)</f>
        <v>452.53000000000003</v>
      </c>
    </row>
  </sheetData>
  <mergeCells count="8">
    <mergeCell ref="A38:F39"/>
    <mergeCell ref="A45:F46"/>
    <mergeCell ref="G7:H7"/>
    <mergeCell ref="M20:N20"/>
    <mergeCell ref="A1:F4"/>
    <mergeCell ref="A5:F6"/>
    <mergeCell ref="A19:F20"/>
    <mergeCell ref="A31:F32"/>
  </mergeCells>
  <dataValidations count="7">
    <dataValidation type="list" allowBlank="1" showInputMessage="1" showErrorMessage="1" sqref="A22 A24:A28 M27" xr:uid="{6C836A2A-295B-4D3A-AD7F-C59B23A6C611}">
      <formula1>$I$21:$I$32</formula1>
    </dataValidation>
    <dataValidation type="list" allowBlank="1" showInputMessage="1" showErrorMessage="1" sqref="D10" xr:uid="{CD4098F7-E3DC-47C0-A626-BDD96629BA28}">
      <formula1>$I$7:$I$11</formula1>
    </dataValidation>
    <dataValidation type="list" allowBlank="1" showInputMessage="1" showErrorMessage="1" sqref="D9 D11:D14" xr:uid="{DE827420-CC19-4275-A97A-55C534E6E23B}">
      <formula1>$I$7:$I$17</formula1>
    </dataValidation>
    <dataValidation type="list" allowBlank="1" showInputMessage="1" showErrorMessage="1" sqref="E22:E28" xr:uid="{B5F1FD60-1E4C-45C9-91A4-8AD44653FE70}">
      <formula1>$I$33:$I$36</formula1>
    </dataValidation>
    <dataValidation type="list" allowBlank="1" showInputMessage="1" showErrorMessage="1" sqref="F22:F23" xr:uid="{D549A594-9D93-4CF1-B8A4-6E55B696EB45}">
      <formula1>$I$7:$I$15</formula1>
    </dataValidation>
    <dataValidation type="list" allowBlank="1" showInputMessage="1" showErrorMessage="1" sqref="H25" xr:uid="{ECB49696-C0B7-4D51-BC88-E21B08E60D0F}">
      <formula1>$I$21:$I$36</formula1>
    </dataValidation>
    <dataValidation type="list" allowBlank="1" showInputMessage="1" showErrorMessage="1" sqref="A23 M26" xr:uid="{A5E39413-47BC-456F-ABAC-A97D287348BE}">
      <formula1>$I$21:$I$39</formula1>
    </dataValidation>
  </dataValidations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284D-B17E-4422-92E1-AB68D8ABA35C}">
  <sheetPr>
    <tabColor rgb="FFFFC000"/>
  </sheetPr>
  <dimension ref="A1:O58"/>
  <sheetViews>
    <sheetView topLeftCell="A9" workbookViewId="0">
      <selection activeCell="C27" sqref="C27"/>
    </sheetView>
  </sheetViews>
  <sheetFormatPr defaultColWidth="11" defaultRowHeight="13.5" x14ac:dyDescent="0.3"/>
  <cols>
    <col min="1" max="1" width="23.4609375" customWidth="1"/>
    <col min="2" max="2" width="11" customWidth="1"/>
    <col min="3" max="3" width="22.69140625" customWidth="1"/>
    <col min="4" max="8" width="11" customWidth="1"/>
    <col min="9" max="9" width="0" hidden="1" customWidth="1"/>
  </cols>
  <sheetData>
    <row r="1" spans="1:15" ht="13" customHeight="1" x14ac:dyDescent="0.3">
      <c r="A1" s="264" t="s">
        <v>182</v>
      </c>
      <c r="B1" s="265"/>
      <c r="C1" s="265"/>
      <c r="D1" s="265"/>
      <c r="E1" s="265"/>
      <c r="F1" s="265"/>
    </row>
    <row r="2" spans="1:15" x14ac:dyDescent="0.3">
      <c r="A2" s="265"/>
      <c r="B2" s="265"/>
      <c r="C2" s="265"/>
      <c r="D2" s="265"/>
      <c r="E2" s="265"/>
      <c r="F2" s="265"/>
    </row>
    <row r="3" spans="1:15" x14ac:dyDescent="0.3">
      <c r="A3" s="265"/>
      <c r="B3" s="265"/>
      <c r="C3" s="265"/>
      <c r="D3" s="265"/>
      <c r="E3" s="265"/>
      <c r="F3" s="265"/>
    </row>
    <row r="4" spans="1:15" x14ac:dyDescent="0.3">
      <c r="A4" s="265"/>
      <c r="B4" s="265"/>
      <c r="C4" s="265"/>
      <c r="D4" s="265"/>
      <c r="E4" s="265"/>
      <c r="F4" s="265"/>
    </row>
    <row r="5" spans="1:15" x14ac:dyDescent="0.3">
      <c r="A5" s="262" t="s">
        <v>29</v>
      </c>
      <c r="B5" s="262"/>
      <c r="C5" s="262"/>
      <c r="D5" s="262"/>
      <c r="E5" s="262"/>
      <c r="F5" s="262"/>
    </row>
    <row r="6" spans="1:15" x14ac:dyDescent="0.3">
      <c r="A6" s="262"/>
      <c r="B6" s="262"/>
      <c r="C6" s="262"/>
      <c r="D6" s="262"/>
      <c r="E6" s="262"/>
      <c r="F6" s="262"/>
      <c r="I6" t="s">
        <v>35</v>
      </c>
    </row>
    <row r="7" spans="1:15" x14ac:dyDescent="0.3">
      <c r="I7" s="4" t="s">
        <v>11</v>
      </c>
    </row>
    <row r="8" spans="1:15" x14ac:dyDescent="0.3">
      <c r="A8" t="s">
        <v>33</v>
      </c>
      <c r="B8" t="s">
        <v>28</v>
      </c>
      <c r="C8" t="s">
        <v>16</v>
      </c>
      <c r="D8" t="s">
        <v>35</v>
      </c>
      <c r="G8" s="263" t="s">
        <v>143</v>
      </c>
      <c r="H8" s="263"/>
      <c r="I8" s="4" t="s">
        <v>12</v>
      </c>
      <c r="L8" s="263" t="s">
        <v>154</v>
      </c>
      <c r="M8" s="263"/>
      <c r="N8" s="263"/>
      <c r="O8" s="263"/>
    </row>
    <row r="9" spans="1:15" x14ac:dyDescent="0.3">
      <c r="A9" s="167" t="s">
        <v>52</v>
      </c>
      <c r="B9" s="1">
        <v>38.94</v>
      </c>
      <c r="C9" s="1"/>
      <c r="D9" s="1" t="s">
        <v>138</v>
      </c>
      <c r="E9" s="1" t="s">
        <v>138</v>
      </c>
      <c r="G9" s="1" t="s">
        <v>138</v>
      </c>
      <c r="H9">
        <f>SUMIF(E9:E14,"Fundraising",B9:B14)</f>
        <v>1272.73</v>
      </c>
      <c r="I9" s="4" t="s">
        <v>13</v>
      </c>
      <c r="L9" s="263"/>
      <c r="M9" s="263"/>
      <c r="N9" s="263"/>
      <c r="O9" s="263"/>
    </row>
    <row r="10" spans="1:15" x14ac:dyDescent="0.3">
      <c r="A10" s="167" t="s">
        <v>52</v>
      </c>
      <c r="B10" s="1">
        <v>1233.79</v>
      </c>
      <c r="C10" s="1"/>
      <c r="D10" s="1" t="s">
        <v>138</v>
      </c>
      <c r="E10" s="1" t="s">
        <v>138</v>
      </c>
      <c r="G10" t="s">
        <v>137</v>
      </c>
      <c r="H10">
        <f>SUMIF(E9:E15,"Donation",B9:B15)</f>
        <v>0</v>
      </c>
      <c r="I10" t="s">
        <v>36</v>
      </c>
      <c r="L10" s="263"/>
      <c r="M10" s="263"/>
      <c r="N10" s="263"/>
      <c r="O10" s="263"/>
    </row>
    <row r="11" spans="1:15" x14ac:dyDescent="0.3">
      <c r="A11" s="167"/>
      <c r="B11" s="2"/>
      <c r="C11" s="1"/>
      <c r="I11" t="s">
        <v>37</v>
      </c>
      <c r="L11" s="263"/>
      <c r="M11" s="263"/>
      <c r="N11" s="263"/>
      <c r="O11" s="263"/>
    </row>
    <row r="12" spans="1:15" x14ac:dyDescent="0.3">
      <c r="A12" s="167"/>
      <c r="B12" s="2"/>
      <c r="C12" s="3"/>
      <c r="I12" t="s">
        <v>38</v>
      </c>
      <c r="L12" s="263"/>
      <c r="M12" s="263"/>
      <c r="N12" s="263"/>
      <c r="O12" s="263"/>
    </row>
    <row r="13" spans="1:15" x14ac:dyDescent="0.3">
      <c r="A13" s="167"/>
      <c r="B13" s="2"/>
      <c r="C13" s="1"/>
    </row>
    <row r="14" spans="1:15" x14ac:dyDescent="0.3">
      <c r="A14" s="1"/>
      <c r="B14" s="1"/>
      <c r="C14" s="1"/>
    </row>
    <row r="16" spans="1:15" x14ac:dyDescent="0.3">
      <c r="A16" s="1" t="s">
        <v>30</v>
      </c>
      <c r="B16" s="20">
        <f>SUM(B9:B15)</f>
        <v>1272.73</v>
      </c>
    </row>
    <row r="19" spans="1:14" x14ac:dyDescent="0.3">
      <c r="A19" s="262" t="s">
        <v>31</v>
      </c>
      <c r="B19" s="262"/>
      <c r="C19" s="262"/>
      <c r="D19" s="262"/>
      <c r="E19" s="262"/>
      <c r="F19" s="262"/>
    </row>
    <row r="20" spans="1:14" x14ac:dyDescent="0.3">
      <c r="A20" s="262"/>
      <c r="B20" s="262"/>
      <c r="C20" s="262"/>
      <c r="D20" s="262"/>
      <c r="E20" s="262"/>
      <c r="F20" s="262"/>
      <c r="I20" t="s">
        <v>0</v>
      </c>
    </row>
    <row r="21" spans="1:14" x14ac:dyDescent="0.3">
      <c r="A21" t="s">
        <v>32</v>
      </c>
      <c r="B21" t="s">
        <v>28</v>
      </c>
      <c r="C21" t="s">
        <v>16</v>
      </c>
      <c r="D21" t="s">
        <v>49</v>
      </c>
      <c r="E21" t="s">
        <v>34</v>
      </c>
      <c r="F21" t="s">
        <v>35</v>
      </c>
      <c r="I21" t="s">
        <v>3</v>
      </c>
      <c r="M21" s="263" t="s">
        <v>144</v>
      </c>
      <c r="N21" s="263"/>
    </row>
    <row r="22" spans="1:14" x14ac:dyDescent="0.3">
      <c r="A22" t="s">
        <v>8</v>
      </c>
      <c r="B22">
        <v>18</v>
      </c>
      <c r="C22" s="1" t="s">
        <v>51</v>
      </c>
      <c r="D22" t="s">
        <v>52</v>
      </c>
      <c r="E22" t="s">
        <v>40</v>
      </c>
      <c r="H22" t="s">
        <v>7</v>
      </c>
      <c r="I22" s="4" t="s">
        <v>5</v>
      </c>
      <c r="J22">
        <f>SUMIF(A21:A34,"Marketing",B21:B34)</f>
        <v>0</v>
      </c>
      <c r="M22" s="4" t="s">
        <v>5</v>
      </c>
      <c r="N22">
        <f>SUMIF(A21:A29,"Mileage &amp; Travel",B21:B29)</f>
        <v>0</v>
      </c>
    </row>
    <row r="23" spans="1:14" x14ac:dyDescent="0.3">
      <c r="A23" t="s">
        <v>6</v>
      </c>
      <c r="B23">
        <v>66.650000000000006</v>
      </c>
      <c r="C23" s="1" t="s">
        <v>183</v>
      </c>
      <c r="D23" t="s">
        <v>50</v>
      </c>
      <c r="E23" t="s">
        <v>40</v>
      </c>
      <c r="H23" t="s">
        <v>6</v>
      </c>
      <c r="I23" s="4" t="s">
        <v>6</v>
      </c>
      <c r="J23">
        <f>SUMIF(A21:A34,"Stock - comfort kits",B21:B34)</f>
        <v>687.99</v>
      </c>
      <c r="M23" t="s">
        <v>3</v>
      </c>
      <c r="N23">
        <f>SUMIF(A20:A28,"Stationary",B20:B28)</f>
        <v>49.06</v>
      </c>
    </row>
    <row r="24" spans="1:14" x14ac:dyDescent="0.3">
      <c r="A24" t="s">
        <v>6</v>
      </c>
      <c r="B24">
        <v>415</v>
      </c>
      <c r="C24" s="1" t="s">
        <v>184</v>
      </c>
      <c r="D24" t="s">
        <v>50</v>
      </c>
      <c r="E24" t="s">
        <v>40</v>
      </c>
      <c r="H24" t="s">
        <v>8</v>
      </c>
      <c r="I24" s="4" t="s">
        <v>7</v>
      </c>
      <c r="J24">
        <f>SUMIF(A21:A34,"Overheads",B21:B34)</f>
        <v>18</v>
      </c>
      <c r="M24" t="s">
        <v>6</v>
      </c>
      <c r="N24">
        <f>SUMIF(A21:A29,"Stock - comfort kits",B21:B29)</f>
        <v>687.99</v>
      </c>
    </row>
    <row r="25" spans="1:14" x14ac:dyDescent="0.3">
      <c r="A25" s="177" t="s">
        <v>4</v>
      </c>
      <c r="B25" s="177">
        <v>80.180000000000007</v>
      </c>
      <c r="C25" s="179" t="s">
        <v>185</v>
      </c>
      <c r="D25" t="s">
        <v>50</v>
      </c>
      <c r="E25" t="s">
        <v>40</v>
      </c>
      <c r="I25" s="4"/>
      <c r="M25" s="4" t="s">
        <v>8</v>
      </c>
      <c r="N25">
        <f>SUMIF(A21:A29,"Overheads",B21:B29)</f>
        <v>18</v>
      </c>
    </row>
    <row r="26" spans="1:14" x14ac:dyDescent="0.3">
      <c r="A26" s="177" t="s">
        <v>6</v>
      </c>
      <c r="B26" s="177">
        <v>206.34</v>
      </c>
      <c r="C26" s="179" t="s">
        <v>186</v>
      </c>
      <c r="D26" t="s">
        <v>50</v>
      </c>
      <c r="E26" t="s">
        <v>40</v>
      </c>
      <c r="H26" t="s">
        <v>3</v>
      </c>
      <c r="I26" s="4" t="s">
        <v>8</v>
      </c>
      <c r="J26">
        <f>SUMIF(A22:A35,"Stationary",B22:B35)</f>
        <v>49.06</v>
      </c>
      <c r="M26" t="s">
        <v>142</v>
      </c>
      <c r="N26">
        <f>SUMIF(A22:A30,"office expenses",B22:B30)</f>
        <v>0</v>
      </c>
    </row>
    <row r="27" spans="1:14" x14ac:dyDescent="0.3">
      <c r="A27" t="s">
        <v>3</v>
      </c>
      <c r="B27">
        <v>49.06</v>
      </c>
      <c r="C27" s="1" t="s">
        <v>187</v>
      </c>
      <c r="D27" t="s">
        <v>50</v>
      </c>
      <c r="E27" t="s">
        <v>40</v>
      </c>
      <c r="I27" s="4"/>
      <c r="M27" t="s">
        <v>4</v>
      </c>
      <c r="N27">
        <f>SUMIF(A23:A31,"Postage &amp; Packaging",B23:B31)</f>
        <v>80.180000000000007</v>
      </c>
    </row>
    <row r="28" spans="1:14" x14ac:dyDescent="0.3">
      <c r="C28" s="1"/>
      <c r="I28" s="4"/>
    </row>
    <row r="29" spans="1:14" x14ac:dyDescent="0.3">
      <c r="C29" s="1"/>
      <c r="H29" t="s">
        <v>1</v>
      </c>
      <c r="I29" s="4" t="s">
        <v>5</v>
      </c>
      <c r="J29">
        <f>SUM(J22:J26)</f>
        <v>755.05</v>
      </c>
      <c r="N29">
        <f>SUM(N22:N28)</f>
        <v>835.23</v>
      </c>
    </row>
    <row r="30" spans="1:14" x14ac:dyDescent="0.3">
      <c r="A30" t="s">
        <v>41</v>
      </c>
      <c r="B30" s="20">
        <f>SUM(B22:B29)</f>
        <v>835.23</v>
      </c>
      <c r="I30" s="4" t="s">
        <v>10</v>
      </c>
    </row>
    <row r="32" spans="1:14" x14ac:dyDescent="0.3">
      <c r="A32" s="262" t="s">
        <v>43</v>
      </c>
      <c r="B32" s="262"/>
      <c r="C32" s="262"/>
      <c r="D32" s="262"/>
      <c r="E32" s="262"/>
      <c r="F32" s="262"/>
    </row>
    <row r="33" spans="1:9" x14ac:dyDescent="0.3">
      <c r="A33" s="262"/>
      <c r="B33" s="262"/>
      <c r="C33" s="262"/>
      <c r="D33" s="262"/>
      <c r="E33" s="262"/>
      <c r="F33" s="262"/>
      <c r="I33" t="s">
        <v>34</v>
      </c>
    </row>
    <row r="34" spans="1:9" x14ac:dyDescent="0.3">
      <c r="A34" t="s">
        <v>44</v>
      </c>
      <c r="B34" t="s">
        <v>28</v>
      </c>
      <c r="C34" t="s">
        <v>16</v>
      </c>
      <c r="I34" t="s">
        <v>39</v>
      </c>
    </row>
    <row r="35" spans="1:9" x14ac:dyDescent="0.3">
      <c r="I35" t="s">
        <v>40</v>
      </c>
    </row>
    <row r="37" spans="1:9" x14ac:dyDescent="0.3">
      <c r="A37" t="s">
        <v>45</v>
      </c>
      <c r="B37">
        <f>SUM(B35:B36)</f>
        <v>0</v>
      </c>
    </row>
    <row r="39" spans="1:9" x14ac:dyDescent="0.3">
      <c r="A39" s="262" t="s">
        <v>42</v>
      </c>
      <c r="B39" s="262"/>
      <c r="C39" s="262"/>
      <c r="D39" s="262"/>
      <c r="E39" s="262"/>
      <c r="F39" s="262"/>
    </row>
    <row r="40" spans="1:9" x14ac:dyDescent="0.3">
      <c r="A40" s="262"/>
      <c r="B40" s="262"/>
      <c r="C40" s="262"/>
      <c r="D40" s="262"/>
      <c r="E40" s="262"/>
      <c r="F40" s="262"/>
    </row>
    <row r="41" spans="1:9" x14ac:dyDescent="0.3">
      <c r="A41" t="s">
        <v>44</v>
      </c>
      <c r="B41" t="s">
        <v>28</v>
      </c>
      <c r="C41" t="s">
        <v>16</v>
      </c>
    </row>
    <row r="44" spans="1:9" x14ac:dyDescent="0.3">
      <c r="A44" t="s">
        <v>46</v>
      </c>
      <c r="B44">
        <f>SUM(B42:B43)</f>
        <v>0</v>
      </c>
    </row>
    <row r="46" spans="1:9" x14ac:dyDescent="0.3">
      <c r="A46" s="262" t="s">
        <v>47</v>
      </c>
      <c r="B46" s="262"/>
      <c r="C46" s="262"/>
      <c r="D46" s="262"/>
      <c r="E46" s="262"/>
      <c r="F46" s="262"/>
    </row>
    <row r="47" spans="1:9" x14ac:dyDescent="0.3">
      <c r="A47" s="262"/>
      <c r="B47" s="262"/>
      <c r="C47" s="262"/>
      <c r="D47" s="262"/>
      <c r="E47" s="262"/>
      <c r="F47" s="262"/>
    </row>
    <row r="48" spans="1:9" x14ac:dyDescent="0.3">
      <c r="A48" s="21" t="s">
        <v>14</v>
      </c>
    </row>
    <row r="49" spans="1:2" x14ac:dyDescent="0.3">
      <c r="A49" t="s">
        <v>17</v>
      </c>
      <c r="B49" s="20">
        <f>B16</f>
        <v>1272.73</v>
      </c>
    </row>
    <row r="50" spans="1:2" x14ac:dyDescent="0.3">
      <c r="A50" t="s">
        <v>42</v>
      </c>
      <c r="B50">
        <f>B44</f>
        <v>0</v>
      </c>
    </row>
    <row r="51" spans="1:2" x14ac:dyDescent="0.3">
      <c r="A51" t="s">
        <v>1</v>
      </c>
      <c r="B51" s="20">
        <f>SUM(B49:B50)</f>
        <v>1272.73</v>
      </c>
    </row>
    <row r="53" spans="1:2" x14ac:dyDescent="0.3">
      <c r="A53" s="21" t="s">
        <v>15</v>
      </c>
    </row>
    <row r="54" spans="1:2" x14ac:dyDescent="0.3">
      <c r="A54" t="s">
        <v>31</v>
      </c>
      <c r="B54" s="20">
        <f>B30</f>
        <v>835.23</v>
      </c>
    </row>
    <row r="55" spans="1:2" x14ac:dyDescent="0.3">
      <c r="A55" t="s">
        <v>43</v>
      </c>
      <c r="B55">
        <f>B37</f>
        <v>0</v>
      </c>
    </row>
    <row r="56" spans="1:2" x14ac:dyDescent="0.3">
      <c r="A56" t="s">
        <v>1</v>
      </c>
      <c r="B56" s="20">
        <f>SUM(B54:B55)</f>
        <v>835.23</v>
      </c>
    </row>
    <row r="57" spans="1:2" x14ac:dyDescent="0.3">
      <c r="B57" s="20"/>
    </row>
    <row r="58" spans="1:2" x14ac:dyDescent="0.3">
      <c r="A58" s="22" t="s">
        <v>48</v>
      </c>
      <c r="B58" s="23">
        <f>SUM(B51-B56)</f>
        <v>437.5</v>
      </c>
    </row>
  </sheetData>
  <mergeCells count="9">
    <mergeCell ref="A39:F40"/>
    <mergeCell ref="A46:F47"/>
    <mergeCell ref="G8:H8"/>
    <mergeCell ref="M21:N21"/>
    <mergeCell ref="A1:F4"/>
    <mergeCell ref="A5:F6"/>
    <mergeCell ref="A19:F20"/>
    <mergeCell ref="A32:F33"/>
    <mergeCell ref="L8:O12"/>
  </mergeCells>
  <dataValidations count="7">
    <dataValidation type="list" allowBlank="1" showInputMessage="1" showErrorMessage="1" sqref="F22:F23" xr:uid="{8B9C691D-63E4-449A-B14B-E38DF75FD246}">
      <formula1>$I$7:$I$15</formula1>
    </dataValidation>
    <dataValidation type="list" allowBlank="1" showInputMessage="1" showErrorMessage="1" sqref="E22:E29" xr:uid="{6C5D50C2-BB91-4A32-9960-D971B5664D30}">
      <formula1>$I$34:$I$37</formula1>
    </dataValidation>
    <dataValidation type="list" allowBlank="1" showInputMessage="1" showErrorMessage="1" sqref="D11:D14" xr:uid="{D3612AE9-96BB-4B71-B8D8-3C053A8B172A}">
      <formula1>$I$7:$I$17</formula1>
    </dataValidation>
    <dataValidation type="list" allowBlank="1" showInputMessage="1" showErrorMessage="1" sqref="A22:A23 A27:A29" xr:uid="{4904E81B-28C4-4D50-B575-D710F3A8BBEC}">
      <formula1>$I$21:$I$33</formula1>
    </dataValidation>
    <dataValidation type="list" allowBlank="1" showInputMessage="1" showErrorMessage="1" sqref="H24:H25" xr:uid="{C92B68EF-EA30-4535-B954-A1C9E80F7888}">
      <formula1>$I$21:$I$39</formula1>
    </dataValidation>
    <dataValidation type="list" allowBlank="1" showInputMessage="1" showErrorMessage="1" sqref="A24 A26" xr:uid="{066687D1-330E-4B59-9F79-6E6C5FA130FA}">
      <formula1>$I$21:$I$37</formula1>
    </dataValidation>
    <dataValidation type="list" allowBlank="1" showInputMessage="1" showErrorMessage="1" sqref="A25" xr:uid="{24E5D0F8-1255-4D70-AB7A-26C935F86F15}">
      <formula1>$I$22:$I$35</formula1>
    </dataValidation>
  </dataValidations>
  <pageMargins left="0.75" right="0.75" top="1" bottom="1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4CD6A27-31CA-4983-B2CD-0838D508C6C5}"/>
</file>

<file path=customXml/itemProps2.xml><?xml version="1.0" encoding="utf-8"?>
<ds:datastoreItem xmlns:ds="http://schemas.openxmlformats.org/officeDocument/2006/customXml" ds:itemID="{2492BC5C-D498-4B1C-AF1C-DA916142380B}"/>
</file>

<file path=customXml/itemProps3.xml><?xml version="1.0" encoding="utf-8"?>
<ds:datastoreItem xmlns:ds="http://schemas.openxmlformats.org/officeDocument/2006/customXml" ds:itemID="{A6C6504F-0F72-4C8A-9779-14B1E5F503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R&amp;P Accounts</vt:lpstr>
      <vt:lpstr>Statements of balances</vt:lpstr>
      <vt:lpstr>Year summary</vt:lpstr>
      <vt:lpstr>July 2025</vt:lpstr>
      <vt:lpstr>June 2025</vt:lpstr>
      <vt:lpstr>May 2025</vt:lpstr>
      <vt:lpstr>Apr 2024</vt:lpstr>
      <vt:lpstr>Mar 2025</vt:lpstr>
      <vt:lpstr>Feb 2025</vt:lpstr>
      <vt:lpstr>Jan 2025</vt:lpstr>
      <vt:lpstr>Dec 2024</vt:lpstr>
      <vt:lpstr>Nov 2024</vt:lpstr>
      <vt:lpstr>Oct 2024</vt:lpstr>
      <vt:lpstr>Sept 2024</vt:lpstr>
      <vt:lpstr>Aug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Stent</dc:creator>
  <cp:lastModifiedBy>Bennett, Jen (Staff)</cp:lastModifiedBy>
  <cp:lastPrinted>2016-08-27T13:33:25Z</cp:lastPrinted>
  <dcterms:created xsi:type="dcterms:W3CDTF">2013-05-02T15:04:03Z</dcterms:created>
  <dcterms:modified xsi:type="dcterms:W3CDTF">2026-04-30T06:55:53Z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21e9ff-7647-4b4c-adeb-5bdfdd741aad_Enabled">
    <vt:lpwstr>true</vt:lpwstr>
  </property>
  <property fmtid="{D5CDD505-2E9C-101B-9397-08002B2CF9AE}" pid="3" name="MSIP_Label_1b21e9ff-7647-4b4c-adeb-5bdfdd741aad_SetDate">
    <vt:lpwstr>2026-04-30T06:55:44Z</vt:lpwstr>
  </property>
  <property fmtid="{D5CDD505-2E9C-101B-9397-08002B2CF9AE}" pid="4" name="MSIP_Label_1b21e9ff-7647-4b4c-adeb-5bdfdd741aad_Method">
    <vt:lpwstr>Standard</vt:lpwstr>
  </property>
  <property fmtid="{D5CDD505-2E9C-101B-9397-08002B2CF9AE}" pid="5" name="MSIP_Label_1b21e9ff-7647-4b4c-adeb-5bdfdd741aad_Name">
    <vt:lpwstr>defa4170-0d19-0005-0003-bc88714345d2</vt:lpwstr>
  </property>
  <property fmtid="{D5CDD505-2E9C-101B-9397-08002B2CF9AE}" pid="6" name="MSIP_Label_1b21e9ff-7647-4b4c-adeb-5bdfdd741aad_SiteId">
    <vt:lpwstr>ea3f573e-b52f-4b0e-8ef9-359894f801f6</vt:lpwstr>
  </property>
  <property fmtid="{D5CDD505-2E9C-101B-9397-08002B2CF9AE}" pid="7" name="MSIP_Label_1b21e9ff-7647-4b4c-adeb-5bdfdd741aad_ActionId">
    <vt:lpwstr>cea205b8-9ca7-43bd-8916-b3f16c6cecb2</vt:lpwstr>
  </property>
  <property fmtid="{D5CDD505-2E9C-101B-9397-08002B2CF9AE}" pid="8" name="MSIP_Label_1b21e9ff-7647-4b4c-adeb-5bdfdd741aad_ContentBits">
    <vt:lpwstr>0</vt:lpwstr>
  </property>
  <property fmtid="{D5CDD505-2E9C-101B-9397-08002B2CF9AE}" pid="9" name="MSIP_Label_1b21e9ff-7647-4b4c-adeb-5bdfdd741aad_Tag">
    <vt:lpwstr>10, 3, 0, 1</vt:lpwstr>
  </property>
  <property fmtid="{D5CDD505-2E9C-101B-9397-08002B2CF9AE}" pid="10" name="ContentTypeId">
    <vt:lpwstr>0x010100CD04853568B40F4E8366B3070197220F</vt:lpwstr>
  </property>
</Properties>
</file>