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e0c65a0eae88a6ff/Documents/"/>
    </mc:Choice>
  </mc:AlternateContent>
  <xr:revisionPtr revIDLastSave="549" documentId="8_{94D194D9-7B26-429E-9E39-A38268C9DB2C}" xr6:coauthVersionLast="47" xr6:coauthVersionMax="47" xr10:uidLastSave="{DC5A61CF-AC89-4E87-B6C7-A8D00E191899}"/>
  <bookViews>
    <workbookView xWindow="-108" yWindow="-108" windowWidth="23256" windowHeight="13896" tabRatio="735" xr2:uid="{00000000-000D-0000-FFFF-FFFF00000000}"/>
  </bookViews>
  <sheets>
    <sheet name="Summary" sheetId="11" r:id="rId1"/>
    <sheet name="Accounts" sheetId="33" r:id="rId2"/>
    <sheet name="Bank Account" sheetId="29" r:id="rId3"/>
    <sheet name="CashBook" sheetId="30" r:id="rId4"/>
    <sheet name="Sat_Workshops" sheetId="17" r:id="rId5"/>
    <sheet name="Club_G" sheetId="18" r:id="rId6"/>
    <sheet name="Club_D" sheetId="34" r:id="rId7"/>
    <sheet name="Main_Feis" sheetId="20" r:id="rId8"/>
    <sheet name="Seinn Coisir Ceol" sheetId="28" r:id="rId9"/>
    <sheet name="Instruments" sheetId="21" r:id="rId10"/>
    <sheet name="Grants" sheetId="24" r:id="rId11"/>
    <sheet name="General Inc &amp; Exp" sheetId="25" r:id="rId12"/>
    <sheet name="Misc " sheetId="26" r:id="rId13"/>
  </sheets>
  <definedNames>
    <definedName name="EV__LASTREFTIME__" hidden="1">40074.604537037</definedName>
    <definedName name="_xlnm.Print_Area" localSheetId="1">Accounts!$A$1:$AJ$66</definedName>
    <definedName name="_xlnm.Print_Area" localSheetId="2">'Bank Account'!$B$1:$I$274</definedName>
    <definedName name="_xlnm.Print_Area" localSheetId="3">CashBook!$A$1:$K$35</definedName>
    <definedName name="_xlnm.Print_Area" localSheetId="6">Club_D!$A$1:$J$46</definedName>
    <definedName name="_xlnm.Print_Area" localSheetId="5">Club_G!$A$1:$J$46</definedName>
    <definedName name="_xlnm.Print_Area" localSheetId="11">'General Inc &amp; Exp'!$A$1:$I$30</definedName>
    <definedName name="_xlnm.Print_Area" localSheetId="10">Grants!$A$1:$H$67</definedName>
    <definedName name="_xlnm.Print_Area" localSheetId="9">Instruments!$A$1:$I$119</definedName>
    <definedName name="_xlnm.Print_Area" localSheetId="7">Main_Feis!$A$1:$L$45</definedName>
    <definedName name="_xlnm.Print_Area" localSheetId="12">'Misc '!$A$1:$I$28</definedName>
    <definedName name="_xlnm.Print_Area" localSheetId="4">Sat_Workshops!$A$1:$J$131</definedName>
    <definedName name="_xlnm.Print_Area" localSheetId="8">'Seinn Coisir Ceol'!$A$1:$J$105</definedName>
    <definedName name="_xlnm.Print_Area" localSheetId="0">Summary!$A$1:$X$50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1" l="1"/>
  <c r="B9" i="11"/>
  <c r="M67" i="33"/>
  <c r="D67" i="33"/>
  <c r="M15" i="33"/>
  <c r="D15" i="33"/>
  <c r="C14" i="33"/>
  <c r="L14" i="33"/>
  <c r="N10" i="34"/>
  <c r="J41" i="34"/>
  <c r="J44" i="34" s="1"/>
  <c r="E13" i="34"/>
  <c r="D9" i="34"/>
  <c r="F9" i="34" s="1"/>
  <c r="D8" i="34"/>
  <c r="F8" i="34" s="1"/>
  <c r="F7" i="34"/>
  <c r="D7" i="34"/>
  <c r="D6" i="34"/>
  <c r="F6" i="34" s="1"/>
  <c r="D5" i="34"/>
  <c r="D13" i="34" s="1"/>
  <c r="T15" i="33" l="1"/>
  <c r="F5" i="34"/>
  <c r="F41" i="34" s="1"/>
  <c r="F44" i="34" s="1"/>
  <c r="O36" i="33" l="1"/>
  <c r="T36" i="33" s="1"/>
  <c r="O35" i="33"/>
  <c r="T35" i="33" s="1"/>
  <c r="O34" i="33"/>
  <c r="T34" i="33" s="1"/>
  <c r="O33" i="33"/>
  <c r="F32" i="33"/>
  <c r="F31" i="33"/>
  <c r="F30" i="33"/>
  <c r="F29" i="33"/>
  <c r="F28" i="33"/>
  <c r="F27" i="33"/>
  <c r="T27" i="33" s="1"/>
  <c r="F26" i="33"/>
  <c r="F25" i="33"/>
  <c r="F24" i="33"/>
  <c r="F23" i="33"/>
  <c r="T23" i="33" s="1"/>
  <c r="F22" i="33"/>
  <c r="T22" i="33" s="1"/>
  <c r="F21" i="33"/>
  <c r="T21" i="33" s="1"/>
  <c r="F20" i="33"/>
  <c r="T33" i="33"/>
  <c r="T25" i="33"/>
  <c r="T24" i="33" l="1"/>
  <c r="T26" i="33"/>
  <c r="T28" i="33"/>
  <c r="N46" i="17"/>
  <c r="N12" i="17"/>
  <c r="J71" i="28"/>
  <c r="D88" i="28"/>
  <c r="D87" i="28"/>
  <c r="D86" i="28"/>
  <c r="D85" i="28"/>
  <c r="F85" i="28" s="1"/>
  <c r="D80" i="28"/>
  <c r="D82" i="28"/>
  <c r="D81" i="28"/>
  <c r="E91" i="28"/>
  <c r="B39" i="11"/>
  <c r="N91" i="28"/>
  <c r="N79" i="28"/>
  <c r="J91" i="28"/>
  <c r="E15" i="30"/>
  <c r="H15" i="30" s="1"/>
  <c r="D61" i="28"/>
  <c r="D60" i="28"/>
  <c r="D59" i="28"/>
  <c r="F59" i="28" s="1"/>
  <c r="G61" i="28" s="1"/>
  <c r="E13" i="30"/>
  <c r="H13" i="30" s="1"/>
  <c r="D37" i="28"/>
  <c r="D36" i="28"/>
  <c r="D35" i="28"/>
  <c r="D34" i="28"/>
  <c r="D56" i="28"/>
  <c r="D55" i="28"/>
  <c r="D54" i="28"/>
  <c r="D53" i="28"/>
  <c r="D32" i="28"/>
  <c r="D31" i="28"/>
  <c r="D30" i="28"/>
  <c r="E16" i="30"/>
  <c r="H16" i="30" s="1"/>
  <c r="D77" i="28"/>
  <c r="F77" i="28" s="1"/>
  <c r="D76" i="28"/>
  <c r="F76" i="28" s="1"/>
  <c r="D75" i="28"/>
  <c r="D74" i="28"/>
  <c r="D73" i="28"/>
  <c r="D46" i="28"/>
  <c r="F46" i="28" s="1"/>
  <c r="D50" i="28"/>
  <c r="F50" i="28" s="1"/>
  <c r="D49" i="28"/>
  <c r="F49" i="28" s="1"/>
  <c r="D48" i="28"/>
  <c r="F48" i="28" s="1"/>
  <c r="D47" i="28"/>
  <c r="F47" i="28" s="1"/>
  <c r="D45" i="28"/>
  <c r="F45" i="28" s="1"/>
  <c r="D44" i="28"/>
  <c r="F44" i="28" s="1"/>
  <c r="D43" i="28"/>
  <c r="F43" i="28" s="1"/>
  <c r="E41" i="28"/>
  <c r="D27" i="28"/>
  <c r="F27" i="28" s="1"/>
  <c r="D26" i="28"/>
  <c r="F26" i="28" s="1"/>
  <c r="D25" i="28"/>
  <c r="F25" i="28" s="1"/>
  <c r="D24" i="28"/>
  <c r="F24" i="28" s="1"/>
  <c r="D23" i="28"/>
  <c r="F23" i="28" s="1"/>
  <c r="J41" i="18"/>
  <c r="N18" i="18"/>
  <c r="D9" i="28"/>
  <c r="F9" i="28" s="1"/>
  <c r="D8" i="28"/>
  <c r="F8" i="28" s="1"/>
  <c r="D7" i="28"/>
  <c r="F7" i="28" s="1"/>
  <c r="J64" i="17"/>
  <c r="E18" i="30"/>
  <c r="H18" i="30" s="1"/>
  <c r="D24" i="24"/>
  <c r="H24" i="24"/>
  <c r="O54" i="20"/>
  <c r="L29" i="20"/>
  <c r="H27" i="20"/>
  <c r="H26" i="20"/>
  <c r="H25" i="20"/>
  <c r="H24" i="20"/>
  <c r="H23" i="20"/>
  <c r="H14" i="20"/>
  <c r="H13" i="20"/>
  <c r="H12" i="20"/>
  <c r="H11" i="20"/>
  <c r="H10" i="20"/>
  <c r="H9" i="20"/>
  <c r="E21" i="30"/>
  <c r="H21" i="30" s="1"/>
  <c r="G28" i="20"/>
  <c r="F28" i="20"/>
  <c r="E28" i="20"/>
  <c r="H30" i="20" s="1"/>
  <c r="E19" i="20"/>
  <c r="N107" i="17"/>
  <c r="N84" i="17"/>
  <c r="N58" i="17"/>
  <c r="N36" i="28"/>
  <c r="J41" i="28"/>
  <c r="J21" i="28"/>
  <c r="D14" i="28"/>
  <c r="D13" i="28"/>
  <c r="D12" i="28"/>
  <c r="F75" i="28"/>
  <c r="F74" i="28"/>
  <c r="F73" i="28"/>
  <c r="E21" i="28"/>
  <c r="D6" i="28"/>
  <c r="F6" i="28" s="1"/>
  <c r="D5" i="28"/>
  <c r="F5" i="28" s="1"/>
  <c r="E10" i="30"/>
  <c r="H10" i="30" s="1"/>
  <c r="D10" i="17"/>
  <c r="F10" i="17" s="1"/>
  <c r="D91" i="28" l="1"/>
  <c r="G77" i="28"/>
  <c r="G27" i="28"/>
  <c r="G50" i="28"/>
  <c r="G9" i="28"/>
  <c r="H19" i="20"/>
  <c r="H43" i="20" s="1"/>
  <c r="G120" i="29" l="1"/>
  <c r="C52" i="29" l="1"/>
  <c r="I26" i="25"/>
  <c r="I24" i="26"/>
  <c r="L39" i="20"/>
  <c r="N19" i="33" s="1"/>
  <c r="T19" i="33" s="1"/>
  <c r="J24" i="30"/>
  <c r="F88" i="28"/>
  <c r="F87" i="28"/>
  <c r="F86" i="28"/>
  <c r="F61" i="28"/>
  <c r="F60" i="28"/>
  <c r="F37" i="28"/>
  <c r="F36" i="28"/>
  <c r="D18" i="28"/>
  <c r="F18" i="28" s="1"/>
  <c r="D17" i="28"/>
  <c r="F35" i="28"/>
  <c r="E8" i="30"/>
  <c r="H8" i="30" s="1"/>
  <c r="D44" i="17"/>
  <c r="D43" i="17"/>
  <c r="C376" i="29"/>
  <c r="C274" i="29"/>
  <c r="C120" i="29"/>
  <c r="C85" i="29"/>
  <c r="E71" i="28"/>
  <c r="D107" i="17"/>
  <c r="F107" i="17" s="1"/>
  <c r="D106" i="17"/>
  <c r="F106" i="17" s="1"/>
  <c r="E23" i="30"/>
  <c r="H23" i="30" s="1"/>
  <c r="T3" i="33"/>
  <c r="T63" i="33"/>
  <c r="T64" i="33"/>
  <c r="T65" i="33"/>
  <c r="T66" i="33"/>
  <c r="E35" i="30"/>
  <c r="E32" i="30" s="1"/>
  <c r="E30" i="30" s="1"/>
  <c r="B44" i="11" s="1"/>
  <c r="E22" i="30"/>
  <c r="H22" i="30" s="1"/>
  <c r="E20" i="30"/>
  <c r="H20" i="30" s="1"/>
  <c r="E19" i="30"/>
  <c r="H19" i="30" s="1"/>
  <c r="E17" i="30"/>
  <c r="H17" i="30" s="1"/>
  <c r="E14" i="30"/>
  <c r="H14" i="30" s="1"/>
  <c r="E12" i="30"/>
  <c r="H12" i="30" s="1"/>
  <c r="E11" i="30"/>
  <c r="H11" i="30" s="1"/>
  <c r="E9" i="30"/>
  <c r="H9" i="30" s="1"/>
  <c r="E7" i="30"/>
  <c r="H7" i="30" s="1"/>
  <c r="E6" i="30"/>
  <c r="H6" i="30" s="1"/>
  <c r="E5" i="30"/>
  <c r="H5" i="30" s="1"/>
  <c r="G334" i="29"/>
  <c r="C334" i="29"/>
  <c r="G242" i="29"/>
  <c r="G198" i="29"/>
  <c r="G52" i="29"/>
  <c r="F14" i="28"/>
  <c r="F13" i="28"/>
  <c r="I13" i="21"/>
  <c r="P37" i="33" s="1"/>
  <c r="D42" i="17"/>
  <c r="D41" i="17"/>
  <c r="G88" i="28" l="1"/>
  <c r="F31" i="28"/>
  <c r="D41" i="28"/>
  <c r="E28" i="30"/>
  <c r="E26" i="30" s="1"/>
  <c r="F17" i="28"/>
  <c r="G18" i="28" s="1"/>
  <c r="D21" i="28"/>
  <c r="D71" i="28"/>
  <c r="E4" i="30"/>
  <c r="H4" i="30" s="1"/>
  <c r="G376" i="29"/>
  <c r="G367" i="29"/>
  <c r="C367" i="29"/>
  <c r="G308" i="29"/>
  <c r="C308" i="29"/>
  <c r="G274" i="29"/>
  <c r="C242" i="29"/>
  <c r="C224" i="29"/>
  <c r="G224" i="29"/>
  <c r="C198" i="29"/>
  <c r="G155" i="29"/>
  <c r="C155" i="29"/>
  <c r="G85" i="29"/>
  <c r="J53" i="29"/>
  <c r="D95" i="28"/>
  <c r="J86" i="29" l="1"/>
  <c r="G380" i="29"/>
  <c r="C380" i="29"/>
  <c r="J121" i="29" l="1"/>
  <c r="D20" i="17"/>
  <c r="D19" i="17"/>
  <c r="D18" i="17"/>
  <c r="D17" i="17"/>
  <c r="F82" i="28"/>
  <c r="F80" i="28"/>
  <c r="F81" i="28"/>
  <c r="F54" i="28"/>
  <c r="F56" i="28"/>
  <c r="F55" i="28"/>
  <c r="F53" i="28"/>
  <c r="F71" i="28" s="1"/>
  <c r="F34" i="28"/>
  <c r="G37" i="28" s="1"/>
  <c r="F32" i="28"/>
  <c r="E17" i="33"/>
  <c r="T17" i="33" s="1"/>
  <c r="E6" i="21"/>
  <c r="E5" i="21"/>
  <c r="G82" i="28" l="1"/>
  <c r="F91" i="28"/>
  <c r="F12" i="28"/>
  <c r="J156" i="29"/>
  <c r="J199" i="29" s="1"/>
  <c r="J225" i="29" s="1"/>
  <c r="J243" i="29" s="1"/>
  <c r="J275" i="29" s="1"/>
  <c r="J309" i="29" s="1"/>
  <c r="G56" i="28"/>
  <c r="B45" i="11"/>
  <c r="F95" i="28"/>
  <c r="D94" i="28"/>
  <c r="F94" i="28" s="1"/>
  <c r="J100" i="28"/>
  <c r="N18" i="33"/>
  <c r="E77" i="21"/>
  <c r="E67" i="21"/>
  <c r="E49" i="21"/>
  <c r="E57" i="21"/>
  <c r="E40" i="21"/>
  <c r="E31" i="21"/>
  <c r="E102" i="21"/>
  <c r="E101" i="21"/>
  <c r="E100" i="21"/>
  <c r="E99" i="21"/>
  <c r="E97" i="21"/>
  <c r="E92" i="21"/>
  <c r="E91" i="21"/>
  <c r="E90" i="21"/>
  <c r="E89" i="21"/>
  <c r="E88" i="21"/>
  <c r="E87" i="21"/>
  <c r="E82" i="21"/>
  <c r="E81" i="21"/>
  <c r="E80" i="21"/>
  <c r="E79" i="21"/>
  <c r="E78" i="21"/>
  <c r="E72" i="21"/>
  <c r="E71" i="21"/>
  <c r="E70" i="21"/>
  <c r="E69" i="21"/>
  <c r="E68" i="21"/>
  <c r="E62" i="21"/>
  <c r="E61" i="21"/>
  <c r="E60" i="21"/>
  <c r="E59" i="21"/>
  <c r="E58" i="21"/>
  <c r="E54" i="21"/>
  <c r="E53" i="21"/>
  <c r="E52" i="21"/>
  <c r="E51" i="21"/>
  <c r="E50" i="21"/>
  <c r="E46" i="21"/>
  <c r="E45" i="21"/>
  <c r="F21" i="28" l="1"/>
  <c r="G14" i="28"/>
  <c r="J335" i="29"/>
  <c r="J368" i="29" s="1"/>
  <c r="J377" i="29" s="1"/>
  <c r="T18" i="33"/>
  <c r="N67" i="33"/>
  <c r="L43" i="20"/>
  <c r="F100" i="28"/>
  <c r="T32" i="33" s="1"/>
  <c r="D56" i="17"/>
  <c r="F56" i="17" s="1"/>
  <c r="D54" i="17"/>
  <c r="F54" i="17" s="1"/>
  <c r="D53" i="17"/>
  <c r="F53" i="17" s="1"/>
  <c r="D55" i="17"/>
  <c r="F55" i="17" s="1"/>
  <c r="D8" i="17"/>
  <c r="F8" i="17" s="1"/>
  <c r="D6" i="17"/>
  <c r="F6" i="17" s="1"/>
  <c r="D5" i="17"/>
  <c r="F5" i="17" s="1"/>
  <c r="D7" i="17"/>
  <c r="F7" i="17" s="1"/>
  <c r="J51" i="17"/>
  <c r="K7" i="33" s="1"/>
  <c r="E44" i="21"/>
  <c r="E43" i="21"/>
  <c r="E42" i="21"/>
  <c r="E41" i="21"/>
  <c r="E36" i="21"/>
  <c r="E35" i="21"/>
  <c r="E34" i="21"/>
  <c r="E32" i="21"/>
  <c r="E28" i="21"/>
  <c r="E27" i="21"/>
  <c r="E26" i="21"/>
  <c r="E24" i="21"/>
  <c r="E23" i="21"/>
  <c r="E20" i="21"/>
  <c r="E19" i="21"/>
  <c r="E18" i="21"/>
  <c r="E16" i="21"/>
  <c r="E15" i="21"/>
  <c r="E12" i="21"/>
  <c r="E11" i="21"/>
  <c r="E10" i="21"/>
  <c r="F64" i="17" l="1"/>
  <c r="B8" i="33" s="1"/>
  <c r="E112" i="21"/>
  <c r="E111" i="21"/>
  <c r="E110" i="21"/>
  <c r="E109" i="21"/>
  <c r="E107" i="21"/>
  <c r="F30" i="28"/>
  <c r="G32" i="28" s="1"/>
  <c r="C19" i="20"/>
  <c r="D121" i="17"/>
  <c r="F121" i="17" s="1"/>
  <c r="D120" i="17"/>
  <c r="F120" i="17" s="1"/>
  <c r="D119" i="17"/>
  <c r="F119" i="17" s="1"/>
  <c r="D118" i="17"/>
  <c r="F118" i="17" s="1"/>
  <c r="D45" i="17"/>
  <c r="F45" i="17" s="1"/>
  <c r="C46" i="17"/>
  <c r="F41" i="28" l="1"/>
  <c r="O67" i="33"/>
  <c r="B26" i="11" s="1"/>
  <c r="J104" i="28"/>
  <c r="T30" i="33"/>
  <c r="T31" i="33"/>
  <c r="S62" i="33"/>
  <c r="S67" i="33" s="1"/>
  <c r="T29" i="33" l="1"/>
  <c r="F104" i="28"/>
  <c r="T20" i="33"/>
  <c r="F67" i="33" l="1"/>
  <c r="B11" i="11" s="1"/>
  <c r="G19" i="20" l="1"/>
  <c r="E16" i="33" l="1"/>
  <c r="D105" i="17"/>
  <c r="F105" i="17" s="1"/>
  <c r="D104" i="17"/>
  <c r="F97" i="17"/>
  <c r="D96" i="17"/>
  <c r="F96" i="17" s="1"/>
  <c r="D95" i="17"/>
  <c r="F95" i="17" s="1"/>
  <c r="D94" i="17"/>
  <c r="F94" i="17" s="1"/>
  <c r="D93" i="17"/>
  <c r="F93" i="17" s="1"/>
  <c r="F104" i="17" l="1"/>
  <c r="D116" i="17"/>
  <c r="T16" i="33"/>
  <c r="E67" i="33"/>
  <c r="E75" i="21"/>
  <c r="G44" i="33" s="1"/>
  <c r="D84" i="17"/>
  <c r="F84" i="17" s="1"/>
  <c r="D83" i="17"/>
  <c r="F83" i="17" s="1"/>
  <c r="D82" i="17"/>
  <c r="F82" i="17" s="1"/>
  <c r="D81" i="17"/>
  <c r="F81" i="17" s="1"/>
  <c r="E55" i="21" l="1"/>
  <c r="G42" i="33" s="1"/>
  <c r="D67" i="17"/>
  <c r="F67" i="17" s="1"/>
  <c r="D66" i="17"/>
  <c r="F66" i="17" s="1"/>
  <c r="D69" i="17"/>
  <c r="F69" i="17" s="1"/>
  <c r="D68" i="17"/>
  <c r="F68" i="17" s="1"/>
  <c r="C32" i="17"/>
  <c r="F42" i="17" l="1"/>
  <c r="F41" i="17"/>
  <c r="F44" i="17"/>
  <c r="F43" i="17"/>
  <c r="D31" i="17"/>
  <c r="F31" i="17" s="1"/>
  <c r="D30" i="17"/>
  <c r="F30" i="17" s="1"/>
  <c r="D29" i="17"/>
  <c r="F29" i="17" s="1"/>
  <c r="D28" i="17"/>
  <c r="F28" i="17" s="1"/>
  <c r="F23" i="17"/>
  <c r="F20" i="17" l="1"/>
  <c r="F19" i="17"/>
  <c r="F18" i="17"/>
  <c r="F17" i="17"/>
  <c r="J102" i="17" l="1"/>
  <c r="K11" i="33" s="1"/>
  <c r="F102" i="17"/>
  <c r="B11" i="33" s="1"/>
  <c r="I28" i="26"/>
  <c r="D24" i="26"/>
  <c r="J62" i="33" s="1"/>
  <c r="R61" i="33"/>
  <c r="R67" i="33" s="1"/>
  <c r="D26" i="25"/>
  <c r="I61" i="33" s="1"/>
  <c r="D13" i="24"/>
  <c r="H50" i="33" s="1"/>
  <c r="H64" i="24"/>
  <c r="Q60" i="33" s="1"/>
  <c r="H58" i="24"/>
  <c r="Q59" i="33" s="1"/>
  <c r="H52" i="24"/>
  <c r="Q58" i="33" s="1"/>
  <c r="H47" i="24"/>
  <c r="Q57" i="33" s="1"/>
  <c r="H43" i="24"/>
  <c r="Q56" i="33" s="1"/>
  <c r="H39" i="24"/>
  <c r="Q55" i="33" s="1"/>
  <c r="H33" i="24"/>
  <c r="Q54" i="33" s="1"/>
  <c r="H28" i="24"/>
  <c r="Q53" i="33" s="1"/>
  <c r="Q52" i="33"/>
  <c r="H18" i="24"/>
  <c r="Q51" i="33" s="1"/>
  <c r="H13" i="24"/>
  <c r="Q50" i="33" s="1"/>
  <c r="H9" i="24"/>
  <c r="Q49" i="33" s="1"/>
  <c r="D9" i="24"/>
  <c r="I115" i="21"/>
  <c r="P48" i="33" s="1"/>
  <c r="I105" i="21"/>
  <c r="P47" i="33" s="1"/>
  <c r="I95" i="21"/>
  <c r="P46" i="33" s="1"/>
  <c r="I85" i="21"/>
  <c r="P45" i="33" s="1"/>
  <c r="I75" i="21"/>
  <c r="P44" i="33" s="1"/>
  <c r="T44" i="33" s="1"/>
  <c r="I65" i="21"/>
  <c r="P43" i="33" s="1"/>
  <c r="I55" i="21"/>
  <c r="P42" i="33" s="1"/>
  <c r="T42" i="33" s="1"/>
  <c r="I47" i="21"/>
  <c r="P41" i="33" s="1"/>
  <c r="I38" i="21"/>
  <c r="P40" i="33" s="1"/>
  <c r="I29" i="21"/>
  <c r="P39" i="33" s="1"/>
  <c r="I21" i="21"/>
  <c r="P38" i="33" s="1"/>
  <c r="J128" i="17"/>
  <c r="K13" i="33" s="1"/>
  <c r="J116" i="17"/>
  <c r="K12" i="33" s="1"/>
  <c r="J91" i="17"/>
  <c r="K10" i="33" s="1"/>
  <c r="J79" i="17"/>
  <c r="K9" i="33" s="1"/>
  <c r="K8" i="33"/>
  <c r="J39" i="17"/>
  <c r="K6" i="33" s="1"/>
  <c r="J26" i="17"/>
  <c r="K5" i="33" s="1"/>
  <c r="J15" i="17"/>
  <c r="K4" i="33" s="1"/>
  <c r="F15" i="17"/>
  <c r="B4" i="33" s="1"/>
  <c r="V50" i="11"/>
  <c r="T50" i="33" l="1"/>
  <c r="L67" i="33"/>
  <c r="B23" i="11" s="1"/>
  <c r="J44" i="18"/>
  <c r="H49" i="33"/>
  <c r="T4" i="33"/>
  <c r="Q67" i="33"/>
  <c r="B28" i="11" s="1"/>
  <c r="P67" i="33"/>
  <c r="T11" i="33"/>
  <c r="T49" i="33"/>
  <c r="I67" i="33"/>
  <c r="T61" i="33"/>
  <c r="T62" i="33"/>
  <c r="J67" i="33"/>
  <c r="T8" i="33"/>
  <c r="K67" i="33"/>
  <c r="D30" i="25"/>
  <c r="I30" i="25"/>
  <c r="J131" i="17"/>
  <c r="D28" i="26"/>
  <c r="I118" i="21"/>
  <c r="D28" i="24"/>
  <c r="H53" i="33" s="1"/>
  <c r="T53" i="33" s="1"/>
  <c r="D33" i="24"/>
  <c r="H54" i="33" s="1"/>
  <c r="T54" i="33" s="1"/>
  <c r="D52" i="24"/>
  <c r="H58" i="33" s="1"/>
  <c r="T58" i="33" s="1"/>
  <c r="D58" i="24"/>
  <c r="H59" i="33" s="1"/>
  <c r="T59" i="33" s="1"/>
  <c r="H67" i="24"/>
  <c r="D43" i="24"/>
  <c r="H56" i="33" s="1"/>
  <c r="T56" i="33" s="1"/>
  <c r="D18" i="24"/>
  <c r="H51" i="33" s="1"/>
  <c r="T51" i="33" s="1"/>
  <c r="D64" i="24"/>
  <c r="H60" i="33" s="1"/>
  <c r="T60" i="33" s="1"/>
  <c r="D39" i="24"/>
  <c r="H55" i="33" s="1"/>
  <c r="T55" i="33" s="1"/>
  <c r="D47" i="24"/>
  <c r="H57" i="33" s="1"/>
  <c r="T57" i="33" s="1"/>
  <c r="H52" i="33"/>
  <c r="T52" i="33" s="1"/>
  <c r="E115" i="21"/>
  <c r="G48" i="33" s="1"/>
  <c r="T48" i="33" s="1"/>
  <c r="E105" i="21"/>
  <c r="G47" i="33" s="1"/>
  <c r="T47" i="33" s="1"/>
  <c r="E95" i="21"/>
  <c r="G46" i="33" s="1"/>
  <c r="T46" i="33" s="1"/>
  <c r="E85" i="21"/>
  <c r="G45" i="33" s="1"/>
  <c r="T45" i="33" s="1"/>
  <c r="E65" i="21"/>
  <c r="G43" i="33" s="1"/>
  <c r="T43" i="33" s="1"/>
  <c r="E38" i="21"/>
  <c r="G40" i="33" s="1"/>
  <c r="T40" i="33" s="1"/>
  <c r="E47" i="21"/>
  <c r="G41" i="33" s="1"/>
  <c r="T41" i="33" s="1"/>
  <c r="E29" i="21"/>
  <c r="G39" i="33" s="1"/>
  <c r="T39" i="33" s="1"/>
  <c r="E21" i="21"/>
  <c r="G38" i="33" s="1"/>
  <c r="T38" i="33" s="1"/>
  <c r="E13" i="21"/>
  <c r="G37" i="33" s="1"/>
  <c r="F41" i="18"/>
  <c r="F39" i="17"/>
  <c r="B6" i="33" s="1"/>
  <c r="T6" i="33" s="1"/>
  <c r="F128" i="17"/>
  <c r="B13" i="33" s="1"/>
  <c r="T13" i="33" s="1"/>
  <c r="F116" i="17"/>
  <c r="B12" i="33" s="1"/>
  <c r="F91" i="17"/>
  <c r="B10" i="33" s="1"/>
  <c r="T10" i="33" s="1"/>
  <c r="F26" i="17"/>
  <c r="B5" i="33" s="1"/>
  <c r="T5" i="33" s="1"/>
  <c r="F79" i="17"/>
  <c r="B9" i="33" s="1"/>
  <c r="T9" i="33" s="1"/>
  <c r="F51" i="17"/>
  <c r="B7" i="33" s="1"/>
  <c r="T7" i="33" s="1"/>
  <c r="T14" i="33" l="1"/>
  <c r="F44" i="18"/>
  <c r="D67" i="24"/>
  <c r="H67" i="33"/>
  <c r="B13" i="11" s="1"/>
  <c r="T37" i="33"/>
  <c r="G67" i="33"/>
  <c r="T12" i="33"/>
  <c r="B67" i="33"/>
  <c r="T68" i="33"/>
  <c r="E118" i="21"/>
  <c r="B22" i="11"/>
  <c r="F131" i="17"/>
  <c r="B25" i="11"/>
  <c r="W41" i="11"/>
  <c r="B47" i="11"/>
  <c r="W47" i="11"/>
  <c r="X47" i="11"/>
  <c r="X39" i="11"/>
  <c r="W33" i="11"/>
  <c r="X33" i="11"/>
  <c r="W18" i="11"/>
  <c r="C67" i="33" l="1"/>
  <c r="B8" i="11" s="1"/>
  <c r="B7" i="11"/>
  <c r="W50" i="11"/>
  <c r="W35" i="11"/>
  <c r="J68" i="33" l="1"/>
  <c r="T67" i="33"/>
  <c r="X9" i="11"/>
  <c r="X11" i="11"/>
  <c r="X18" i="11" l="1"/>
  <c r="X35" i="11" s="1"/>
  <c r="X40" i="11" s="1"/>
  <c r="X41" i="11" s="1"/>
  <c r="X50" i="11" s="1"/>
  <c r="B30" i="11" l="1"/>
  <c r="B29" i="11"/>
  <c r="B27" i="11"/>
  <c r="B14" i="11"/>
  <c r="B12" i="11"/>
  <c r="B15" i="11" l="1"/>
  <c r="B33" i="11"/>
  <c r="B10" i="11" l="1"/>
  <c r="B18" i="11" s="1"/>
  <c r="B35" i="11" s="1"/>
  <c r="B40" i="11" l="1"/>
  <c r="B41" i="11" s="1"/>
  <c r="B50" i="11" s="1"/>
</calcChain>
</file>

<file path=xl/sharedStrings.xml><?xml version="1.0" encoding="utf-8"?>
<sst xmlns="http://schemas.openxmlformats.org/spreadsheetml/2006/main" count="1985" uniqueCount="765">
  <si>
    <t>Date</t>
  </si>
  <si>
    <t>Total</t>
  </si>
  <si>
    <t>Comment</t>
  </si>
  <si>
    <t>Money from previous year</t>
  </si>
  <si>
    <t>Receipts &amp; Payments</t>
  </si>
  <si>
    <t>Grants</t>
  </si>
  <si>
    <t>2014/15</t>
  </si>
  <si>
    <t>2013/14</t>
  </si>
  <si>
    <t>Misc</t>
  </si>
  <si>
    <t>Total Payments for Year</t>
  </si>
  <si>
    <t>Statement of Balances</t>
  </si>
  <si>
    <t>Balance at start of year</t>
  </si>
  <si>
    <t>Total Assets at end of year</t>
  </si>
  <si>
    <t>2015/16</t>
  </si>
  <si>
    <t>Seinn</t>
  </si>
  <si>
    <t>Instrument</t>
  </si>
  <si>
    <t>Workshops</t>
  </si>
  <si>
    <t>Main Feis</t>
  </si>
  <si>
    <t>Insurances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</si>
  <si>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</si>
  <si>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</si>
  <si>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</si>
  <si>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</si>
  <si>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</si>
  <si>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</si>
  <si>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</si>
  <si>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</si>
  <si>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</si>
  <si>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</si>
  <si>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</si>
  <si>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</si>
  <si>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Instrument Exp</t>
  </si>
  <si>
    <t>Main Feis  Exp</t>
  </si>
  <si>
    <t>Grants  Exp</t>
  </si>
  <si>
    <t>Misc  Exp</t>
  </si>
  <si>
    <t>Income</t>
  </si>
  <si>
    <t>Expenditure</t>
  </si>
  <si>
    <t>Receipts:</t>
  </si>
  <si>
    <t>Petty Cash</t>
  </si>
  <si>
    <t>Payments:</t>
  </si>
  <si>
    <t>Notes</t>
  </si>
  <si>
    <t>Total Receipts for Year</t>
  </si>
  <si>
    <r>
      <t xml:space="preserve">Surplus / </t>
    </r>
    <r>
      <rPr>
        <b/>
        <sz val="11"/>
        <color rgb="FFFF0000"/>
        <rFont val="Calibri"/>
        <family val="2"/>
        <scheme val="minor"/>
      </rPr>
      <t>(Deficit for Year)</t>
    </r>
  </si>
  <si>
    <r>
      <t xml:space="preserve">Surplus / </t>
    </r>
    <r>
      <rPr>
        <sz val="11"/>
        <color rgb="FFFF0000"/>
        <rFont val="Calibri"/>
        <family val="2"/>
        <scheme val="minor"/>
      </rPr>
      <t>(Deficit for Year)</t>
    </r>
  </si>
  <si>
    <t>Represented by balances at</t>
  </si>
  <si>
    <t>Main Account (Bank of Scotland)</t>
  </si>
  <si>
    <t>Club G</t>
  </si>
  <si>
    <t>Club G Exp</t>
  </si>
  <si>
    <t>Fundraising</t>
  </si>
  <si>
    <t>2016/17</t>
  </si>
  <si>
    <t>Film Nights</t>
  </si>
  <si>
    <t>Teenage Feis</t>
  </si>
  <si>
    <r>
      <t xml:space="preserve">Instrument Account (Bank of Scotland) - </t>
    </r>
    <r>
      <rPr>
        <i/>
        <sz val="11"/>
        <color theme="1"/>
        <rFont val="Calibri"/>
        <family val="2"/>
        <scheme val="minor"/>
      </rPr>
      <t>Closed and balance of £2,471.34 transferred to main account 21 Sept 2016</t>
    </r>
  </si>
  <si>
    <t>Number of students</t>
  </si>
  <si>
    <t xml:space="preserve">Cash </t>
  </si>
  <si>
    <t>Cheques</t>
  </si>
  <si>
    <t>Feis Bheag students @ £8</t>
  </si>
  <si>
    <t>Feis Bheag students @ £4</t>
  </si>
  <si>
    <t>Description</t>
  </si>
  <si>
    <t>INCOME</t>
  </si>
  <si>
    <t>Feis Mhor students @ £10</t>
  </si>
  <si>
    <t>Feis Mhor students @ £5</t>
  </si>
  <si>
    <t>Sept Workshop (single day)</t>
  </si>
  <si>
    <t>Sub Total</t>
  </si>
  <si>
    <t>Feis Mhor Tutors</t>
  </si>
  <si>
    <t>Feis Bheag Tutors</t>
  </si>
  <si>
    <t>Amount</t>
  </si>
  <si>
    <t>Paid by cash or chq numbers</t>
  </si>
  <si>
    <t>EXPENDITURE</t>
  </si>
  <si>
    <t>Oct Workshop (single day)</t>
  </si>
  <si>
    <t>Nov Workshop (single day)</t>
  </si>
  <si>
    <t>Dec Workshop (single day)</t>
  </si>
  <si>
    <t>Jan Workshop (single day)</t>
  </si>
  <si>
    <t>Feb Workshop (single day)</t>
  </si>
  <si>
    <t>Mar Workshop (single day)</t>
  </si>
  <si>
    <t>May Workshop (single day)</t>
  </si>
  <si>
    <t>June Workshop (single day)</t>
  </si>
  <si>
    <t>Donation</t>
  </si>
  <si>
    <t>Raffle</t>
  </si>
  <si>
    <t>TOTALS</t>
  </si>
  <si>
    <t>Donations</t>
  </si>
  <si>
    <t>5 day feis</t>
  </si>
  <si>
    <t>General Expenses</t>
  </si>
  <si>
    <t>Direct Payment</t>
  </si>
  <si>
    <t>INSTRUMENTS</t>
  </si>
  <si>
    <t>Sept Instrument Hire</t>
  </si>
  <si>
    <t>Sept Instrument Costs</t>
  </si>
  <si>
    <t>Oct Instrument Hire</t>
  </si>
  <si>
    <t>Nov Instrument Hire</t>
  </si>
  <si>
    <t>Dec Instrument Hire</t>
  </si>
  <si>
    <t>Jan Instrument Hire</t>
  </si>
  <si>
    <t>Feb Instrument Hire</t>
  </si>
  <si>
    <t>March Instrument Hire</t>
  </si>
  <si>
    <t>April Instrument Hire</t>
  </si>
  <si>
    <t>Oct Instrument Costs</t>
  </si>
  <si>
    <t>Nov Instrument Costs</t>
  </si>
  <si>
    <t>Dec Instrument Costs</t>
  </si>
  <si>
    <t>Jan Instrument Costs</t>
  </si>
  <si>
    <t>Feb Instrument Costs</t>
  </si>
  <si>
    <t>March Instrument Costs</t>
  </si>
  <si>
    <t>April Instrument Costs</t>
  </si>
  <si>
    <t>May Instrument Costs</t>
  </si>
  <si>
    <t>June Instrument Costs</t>
  </si>
  <si>
    <t>July Instrument Costs</t>
  </si>
  <si>
    <t>Aug Instrument Costs</t>
  </si>
  <si>
    <t>8 lesson this term</t>
  </si>
  <si>
    <t>Sept Grants</t>
  </si>
  <si>
    <t>Oct Grants</t>
  </si>
  <si>
    <t>Nov Grants</t>
  </si>
  <si>
    <t>Dec Grants</t>
  </si>
  <si>
    <t>Jan Grants</t>
  </si>
  <si>
    <t>Feb Grants</t>
  </si>
  <si>
    <t>March Grants</t>
  </si>
  <si>
    <t>April Grants</t>
  </si>
  <si>
    <t>May Grants</t>
  </si>
  <si>
    <t>June Grants</t>
  </si>
  <si>
    <t>July Grants</t>
  </si>
  <si>
    <t>Aug Grants</t>
  </si>
  <si>
    <t>May Instrument Hire</t>
  </si>
  <si>
    <t>June Instrument Hire</t>
  </si>
  <si>
    <t>July Instrument Hire</t>
  </si>
  <si>
    <t>Aug Instrument Hire</t>
  </si>
  <si>
    <t xml:space="preserve">Insurances </t>
  </si>
  <si>
    <t>Misc Expenses</t>
  </si>
  <si>
    <t>MISCELLANEOUS</t>
  </si>
  <si>
    <t>Miscellaneous Income</t>
  </si>
  <si>
    <t>Miscellaneous Expenses</t>
  </si>
  <si>
    <t xml:space="preserve">Club G </t>
  </si>
  <si>
    <t>2017/18</t>
  </si>
  <si>
    <t>Sat Workshops</t>
  </si>
  <si>
    <t>Saturday Workshops</t>
  </si>
  <si>
    <t>Instruments</t>
  </si>
  <si>
    <t>Miscellaneous</t>
  </si>
  <si>
    <t>changed order and format for 2016/2017</t>
  </si>
  <si>
    <t>Club G previously Piping &amp; Drumming</t>
  </si>
  <si>
    <t>Sat Workshops Exp</t>
  </si>
  <si>
    <t>Sept</t>
  </si>
  <si>
    <t>Whistle</t>
  </si>
  <si>
    <t>Seinn students @ £12</t>
  </si>
  <si>
    <t>25 Year Fundraiser</t>
  </si>
  <si>
    <t>cash</t>
  </si>
  <si>
    <t>DATE</t>
  </si>
  <si>
    <t>AMOUNT</t>
  </si>
  <si>
    <t>Deposit</t>
  </si>
  <si>
    <t>SOURCE</t>
  </si>
  <si>
    <t>Bank Account Payments</t>
  </si>
  <si>
    <t>DEPOSITS</t>
  </si>
  <si>
    <t>PAYMENTS</t>
  </si>
  <si>
    <t>faster payment</t>
  </si>
  <si>
    <t>Seinn students @ £15</t>
  </si>
  <si>
    <t>Seinn students @ £18</t>
  </si>
  <si>
    <t>Standing Order</t>
  </si>
  <si>
    <t>Coisir</t>
  </si>
  <si>
    <t xml:space="preserve">5 day feis </t>
  </si>
  <si>
    <t>Coisir Tutors Fee - Iain Murdo MacMillan</t>
  </si>
  <si>
    <t>Monthly instrument hire / Costs or deposit refunds</t>
  </si>
  <si>
    <t>2018/19</t>
  </si>
  <si>
    <t>GRANTS &amp; FUNDRAISING</t>
  </si>
  <si>
    <t>April</t>
  </si>
  <si>
    <t>Grants / Fundraising</t>
  </si>
  <si>
    <t>Sept - Aug</t>
  </si>
  <si>
    <t>Public liability insurance (Feisean nan Gaidheal) &amp; other expenses</t>
  </si>
  <si>
    <t>CashBook Information</t>
  </si>
  <si>
    <t>EVENT</t>
  </si>
  <si>
    <t>Cash Received</t>
  </si>
  <si>
    <t>Cash Paid Out</t>
  </si>
  <si>
    <t>Cheques Received</t>
  </si>
  <si>
    <t>Total Balance Received</t>
  </si>
  <si>
    <t>Date Banked</t>
  </si>
  <si>
    <t>Balance Banked</t>
  </si>
  <si>
    <t>Additional Information</t>
  </si>
  <si>
    <t>Net Cash Received</t>
  </si>
  <si>
    <t>Petty cash information</t>
  </si>
  <si>
    <t>Payments out</t>
  </si>
  <si>
    <t>Payments in</t>
  </si>
  <si>
    <t>Information</t>
  </si>
  <si>
    <t>Balance</t>
  </si>
  <si>
    <t>Surplus / (Deficit for Year)</t>
  </si>
  <si>
    <t>2019/20</t>
  </si>
  <si>
    <t>M Neeling - Clarsach hire (Instrument)</t>
  </si>
  <si>
    <t>M Neeling - Clarsach</t>
  </si>
  <si>
    <t>Closing &amp; opening balance for accounts year 19/20</t>
  </si>
  <si>
    <t>2020/21</t>
  </si>
  <si>
    <r>
      <t xml:space="preserve">Surplus </t>
    </r>
    <r>
      <rPr>
        <b/>
        <sz val="11"/>
        <color rgb="FFFF0000"/>
        <rFont val="Calibri"/>
        <family val="2"/>
        <scheme val="minor"/>
      </rPr>
      <t>/ (Deficit for Year)</t>
    </r>
  </si>
  <si>
    <t>M Neeling - Clarsach hire (instruments)</t>
  </si>
  <si>
    <t>Online payment</t>
  </si>
  <si>
    <t xml:space="preserve">Expenses </t>
  </si>
  <si>
    <t>Expenses -</t>
  </si>
  <si>
    <t>Closing &amp; opening balance for accounts year 20/21</t>
  </si>
  <si>
    <r>
      <t xml:space="preserve">Feb Workshop (single day Feis) </t>
    </r>
    <r>
      <rPr>
        <sz val="11"/>
        <color rgb="FFFF0000"/>
        <rFont val="Calibri"/>
        <family val="2"/>
        <scheme val="minor"/>
      </rPr>
      <t>cancelled</t>
    </r>
  </si>
  <si>
    <r>
      <t xml:space="preserve">Jun Workshop (single day Feis) </t>
    </r>
    <r>
      <rPr>
        <sz val="11"/>
        <color rgb="FFFF0000"/>
        <rFont val="Calibri"/>
        <family val="2"/>
        <scheme val="minor"/>
      </rPr>
      <t>Cancelled</t>
    </r>
  </si>
  <si>
    <t>Opening balance</t>
  </si>
  <si>
    <t>Closing balance</t>
  </si>
  <si>
    <t>Balance / Difference</t>
  </si>
  <si>
    <t>SATURDAY WORKSHOPS</t>
  </si>
  <si>
    <t>Cash</t>
  </si>
  <si>
    <t>Online</t>
  </si>
  <si>
    <t>Feisean Nan Gaidheal - Main Feis Grant</t>
  </si>
  <si>
    <t>Seinn students @ £9</t>
  </si>
  <si>
    <t>Coisir students @ £18</t>
  </si>
  <si>
    <t>Coisir students @ £9</t>
  </si>
  <si>
    <t>Coisir students @ £12</t>
  </si>
  <si>
    <t>Coisir students @ £30</t>
  </si>
  <si>
    <t>Feis Bheag students @ £0</t>
  </si>
  <si>
    <t>Feis Mhor students @ £0</t>
  </si>
  <si>
    <t>MAIN FEIS</t>
  </si>
  <si>
    <t>2021/22</t>
  </si>
  <si>
    <t>Tutors Fees (including Expensess travel &amp; Meals)</t>
  </si>
  <si>
    <t xml:space="preserve">Coisir students @ £15 </t>
  </si>
  <si>
    <t>Details</t>
  </si>
  <si>
    <t>transfer</t>
  </si>
  <si>
    <t>Saturday Workshop</t>
  </si>
  <si>
    <t>Main Feis - Raffle</t>
  </si>
  <si>
    <t>Main Feis - Donations</t>
  </si>
  <si>
    <t>Main Feis - Merchandise Sales</t>
  </si>
  <si>
    <t>July</t>
  </si>
  <si>
    <t xml:space="preserve">Apr Workshop (single day Feis) </t>
  </si>
  <si>
    <t>May Workshop (single day Feis)</t>
  </si>
  <si>
    <t>Miscellaneous expenditure</t>
  </si>
  <si>
    <t>2022/23</t>
  </si>
  <si>
    <t>Saturday  June 2023</t>
  </si>
  <si>
    <t>Saturday February 2023</t>
  </si>
  <si>
    <t>Seinn students @ £4.50</t>
  </si>
  <si>
    <t>Coisir students @ £4.50</t>
  </si>
  <si>
    <t>K thomson Erin Greig (Coisir)</t>
  </si>
  <si>
    <t>Gracie Montgomery (Coisir)</t>
  </si>
  <si>
    <t>Mackenzie M &amp; F CA Ross Claire (Coisir)</t>
  </si>
  <si>
    <t>Natalie Szczerba (Coisir)</t>
  </si>
  <si>
    <t>Mackintosh R&amp;S Isabella Mackintos (Sienn)</t>
  </si>
  <si>
    <t>Macmillan Finlay &amp; Alyth (Coisir )</t>
  </si>
  <si>
    <t>Iain Murdo MacMillan Tutor fee (Sat Workshop)</t>
  </si>
  <si>
    <t>Monica Neeling Tutor fee (Sat Workshop)</t>
  </si>
  <si>
    <t>Eilidh Russell Supervisor fee (Sat Workshop)</t>
  </si>
  <si>
    <t>Mary Jane Williamson Supervisor fee (Sat Workshop)</t>
  </si>
  <si>
    <t>Clare MacLean Tutor fee (Sat Workshop)</t>
  </si>
  <si>
    <t>Saffron Hanvidge Tutor fee (Sat Workshop)</t>
  </si>
  <si>
    <t>Clare MacLean Seinn Tutor fee (Seinn)</t>
  </si>
  <si>
    <t>Iain Murdo MacMillan Coisir Tutor fee (Coisir)</t>
  </si>
  <si>
    <t>Jamie Mackenzie Tutor Fee (Main Feis)</t>
  </si>
  <si>
    <t>Clare MacLean Tutor fee (Main Feis)</t>
  </si>
  <si>
    <t>Closing &amp; opening balance for accounts year 21/22</t>
  </si>
  <si>
    <t>Closing &amp; opening balance for accounts year 22/23</t>
  </si>
  <si>
    <t>Mairi Buxton</t>
  </si>
  <si>
    <t>Jamie Mackenzie</t>
  </si>
  <si>
    <t>Clare Maclean</t>
  </si>
  <si>
    <t>Allan R &amp; I Mairi Allan (Seinn)</t>
  </si>
  <si>
    <t>A Macleod Aoife Macleod (seinn)</t>
  </si>
  <si>
    <t>FPO</t>
  </si>
  <si>
    <t>Coll Murchison Mairead Anna (Sienn)</t>
  </si>
  <si>
    <t>Jamie Mackenzie Tutor Fee (Sat Workshop)</t>
  </si>
  <si>
    <t>Transfer</t>
  </si>
  <si>
    <t>Feisean nan Gaidhe FNG The Gathering (Grants)</t>
  </si>
  <si>
    <t>Mary Jane Williamson Supervisor fee (Main Feis)</t>
  </si>
  <si>
    <t>RO O Headhra tutor fee (Main Feis)</t>
  </si>
  <si>
    <t>C M Buxton Tutor fee (Main Feis)</t>
  </si>
  <si>
    <t>Monica Neeling Tutor fee (Main Feis)</t>
  </si>
  <si>
    <t>Fiona Mackenzie cook (main Feis)</t>
  </si>
  <si>
    <t>2023/24</t>
  </si>
  <si>
    <t>Mini Feis October 2023</t>
  </si>
  <si>
    <t>Mairi C M Buxton Tutor fee (Sat Workshop)</t>
  </si>
  <si>
    <t>LIDL biscuits</t>
  </si>
  <si>
    <t>Katie Russell Supervisor Fee (Sat Workshop)</t>
  </si>
  <si>
    <t>Tesco biscuits</t>
  </si>
  <si>
    <t>Tesco snacks</t>
  </si>
  <si>
    <t>ALDI biscuits</t>
  </si>
  <si>
    <t>Paid to see receipts on sat workshop tab</t>
  </si>
  <si>
    <t>Expenses</t>
  </si>
  <si>
    <r>
      <t xml:space="preserve">Oct Workshop (single day Feis) </t>
    </r>
    <r>
      <rPr>
        <sz val="11"/>
        <color rgb="FFFF0000"/>
        <rFont val="Calibri"/>
        <family val="2"/>
        <scheme val="minor"/>
      </rPr>
      <t>Cancelled</t>
    </r>
  </si>
  <si>
    <t>Nov Workshop (single day Feis)</t>
  </si>
  <si>
    <t>Dec Workshop (single day Feis)</t>
  </si>
  <si>
    <t xml:space="preserve">Jan Workshop (single day Feis) </t>
  </si>
  <si>
    <t xml:space="preserve">Mar Workshop (single day Feis) </t>
  </si>
  <si>
    <t>Feisean Nan Gaidheal - The Gathering</t>
  </si>
  <si>
    <t>General Income &amp; Expenses</t>
  </si>
  <si>
    <t>Paid onlin by cash or chq numbers</t>
  </si>
  <si>
    <t>Paid online by cash or chq numbers</t>
  </si>
  <si>
    <t>Tesco food</t>
  </si>
  <si>
    <t>LIDL food</t>
  </si>
  <si>
    <t>ALDI food</t>
  </si>
  <si>
    <t>Farmfoods food</t>
  </si>
  <si>
    <t>ASDA food</t>
  </si>
  <si>
    <t>Highland Council Lets (General Income &amp; Expenses)</t>
  </si>
  <si>
    <t xml:space="preserve">Feisean nan Gaide membership payment (General Income &amp; Expenses) </t>
  </si>
  <si>
    <t>General Inc</t>
  </si>
  <si>
    <t>General  Exp</t>
  </si>
  <si>
    <t>Closing &amp; opening balance for accounts year 23/24</t>
  </si>
  <si>
    <t>Lucky Squares</t>
  </si>
  <si>
    <t>Main Feis - Lucky Squares</t>
  </si>
  <si>
    <t>Ro O'headra</t>
  </si>
  <si>
    <t>Monica Neeling</t>
  </si>
  <si>
    <t>Eilidh Russell</t>
  </si>
  <si>
    <t>Mary Jane Williamson</t>
  </si>
  <si>
    <t>Expenses -  cash*</t>
  </si>
  <si>
    <t>Tesco</t>
  </si>
  <si>
    <t>ALDI</t>
  </si>
  <si>
    <t>ASDA</t>
  </si>
  <si>
    <t>Eilidh Russell Supervisor fee (Main Feis)</t>
  </si>
  <si>
    <t>I Shields Rona Shields (Coisir)</t>
  </si>
  <si>
    <t>Kathleen Thomson Erin Greig (Coisir)</t>
  </si>
  <si>
    <t>Macmillan Finlay &amp; Alyth (Coisir)</t>
  </si>
  <si>
    <t>Mitchell D F Ava Allan (Coisir)</t>
  </si>
  <si>
    <t>A Hunter Elspeth Hunter (Coisir)</t>
  </si>
  <si>
    <t>K Mackenzie Kirstin Mackenzie Jessica Keel (Coisir)</t>
  </si>
  <si>
    <t>Macleod D &amp; H Lewis Macleod (Coisir)</t>
  </si>
  <si>
    <t>Innes &amp; Innes Peggy Innes (Seinn)</t>
  </si>
  <si>
    <t>L Smith Eilidh Karis (Coisir &amp; Seinn)</t>
  </si>
  <si>
    <t>Halle Cran (Teen Coisir)</t>
  </si>
  <si>
    <t>Paul Davidson Keilah Davidson (Seinn)</t>
  </si>
  <si>
    <t>Donald Ferguson &amp; Isabelle Ferguson (Seinn)</t>
  </si>
  <si>
    <t>Katherine van exan Catriona Nic (Coisir)</t>
  </si>
  <si>
    <t>A Mcglashan Chapmans x3 jamie, Eudhidh &amp; Eilidh (Coisir &amp; Seinn)</t>
  </si>
  <si>
    <t>Robertson C &amp; S Erin Atkinson (Coisir)</t>
  </si>
  <si>
    <t>Williams lyra &amp; Hunter Williams (Coisir)</t>
  </si>
  <si>
    <t>Kathleen van exan catriona nicd (Coisir)</t>
  </si>
  <si>
    <t>Stuart Macintosh Isabella Mackintosh (Seinn)</t>
  </si>
  <si>
    <t>Accounts for Period: 1 September 2024 - 31 August 2025</t>
  </si>
  <si>
    <t>2024/25</t>
  </si>
  <si>
    <t>Jan - Mar 2025</t>
  </si>
  <si>
    <t>Apr - Jul 2025</t>
  </si>
  <si>
    <t>Aug - Oct 2024</t>
  </si>
  <si>
    <t>Nov - Dec 2024</t>
  </si>
  <si>
    <t>Montgomery RM Gracie Montgomery (Coisir)</t>
  </si>
  <si>
    <t>Robertson C &amp; S Erin (Coisir)</t>
  </si>
  <si>
    <t>Macdonald M J Ishbel  Hamish Davidson (Coisir)</t>
  </si>
  <si>
    <t>Feisean nan Gaide FNG Main Feis (Grants)</t>
  </si>
  <si>
    <t>Judith McManus H Mcmanus (Coisir)</t>
  </si>
  <si>
    <t>Iain Murdo MacMillan Ceol Tutor fee (Coisir)</t>
  </si>
  <si>
    <t>Macleod D &amp; H Lewis &amp; Callum Macleod (Coisir)</t>
  </si>
  <si>
    <t>E Shields Willow (Seinn)</t>
  </si>
  <si>
    <t>L Muir Naomi Muir (Seinn)</t>
  </si>
  <si>
    <t>Judith Ncmanus  Hannah (Coisir)</t>
  </si>
  <si>
    <t>L Smith Eilidh Karis (Seinn)</t>
  </si>
  <si>
    <t>BCG</t>
  </si>
  <si>
    <t>Anna Biddulph Tutor fee (Sat Workshop)</t>
  </si>
  <si>
    <t>Miss C M Buxton Tutor fee (Sat Workshop)</t>
  </si>
  <si>
    <t>K Mackenzie Jessica &amp; Lexie Keel (Coisir)</t>
  </si>
  <si>
    <t>J Wilson David Wilson (Coisir)</t>
  </si>
  <si>
    <t>Coisir Ghaidhlig Eadarainn Donation (Grants)</t>
  </si>
  <si>
    <t>Stuart Mackintosh Tutor fee (Sat Workshop)</t>
  </si>
  <si>
    <t>Jessica &amp; Lexie Keel (Coisir)</t>
  </si>
  <si>
    <t>D &amp; J Boag Seinn Tutor fee (Seinn)</t>
  </si>
  <si>
    <t>Saturday Workshop Sept 24 (Sat Workshop)</t>
  </si>
  <si>
    <t>Saturday Workshop Nov 24 (Sat Workshop)</t>
  </si>
  <si>
    <t>Saturday Workshop Dec 24 (Sat Workshop)</t>
  </si>
  <si>
    <t>Term 2 Seinn, Coisir, Ceol (Seinn)</t>
  </si>
  <si>
    <t>K Mackenzie Jessica &amp; L Keel (Coisir)</t>
  </si>
  <si>
    <t xml:space="preserve">Clarke E &amp; C Jessica Fulton (Seinn) </t>
  </si>
  <si>
    <t>MacDonald M J Ishbel  (Coisir)</t>
  </si>
  <si>
    <t>Feisean nan Gaidhe FNG  (Grants)</t>
  </si>
  <si>
    <t>Feisean nan Gaidhe FNG main Feis (Grants)</t>
  </si>
  <si>
    <t>Judith Ncmanus  Hannah  (Coisir)</t>
  </si>
  <si>
    <t>PAY</t>
  </si>
  <si>
    <t>Bord Na Gaidhlig (Grants)</t>
  </si>
  <si>
    <t>Clare MacLean Ceol overpayment (Ceol)</t>
  </si>
  <si>
    <t>Judith Ncmanus  Hannah   (Coisir)</t>
  </si>
  <si>
    <t>standing order</t>
  </si>
  <si>
    <t>A MacLeod Tutoe fee (Sat Workshop)</t>
  </si>
  <si>
    <t>Mairi Gilfedder Tutor Fee (Sat Workshop)</t>
  </si>
  <si>
    <t>Lauren Nicolson Tutor Fee (Sat Workshop)</t>
  </si>
  <si>
    <t>Feisean nan Gaidhe Insurance (Grants)</t>
  </si>
  <si>
    <t>Kirsteen Russell feis accountant (General Income &amp; Expenses)</t>
  </si>
  <si>
    <t>Lauren Nicolson The Gathering</t>
  </si>
  <si>
    <t>Macleod EC Murdo (Main Feis)</t>
  </si>
  <si>
    <t>Feisean nan Gaidhe FNG Classes (Grants)</t>
  </si>
  <si>
    <t>Feisean nan Gaidhe FNG Main Feis (Grants)</t>
  </si>
  <si>
    <t>M Mcfaul Finlay McFaul (Main Feis)</t>
  </si>
  <si>
    <t>Miss L C Gibbons coisir overpayment (Coisir)</t>
  </si>
  <si>
    <t>A Gillies Rona Gillies (Coisir)</t>
  </si>
  <si>
    <t>A Macleod Iain Macleod (Club G)</t>
  </si>
  <si>
    <t>Lynne Macphee Nianh, Grace &amp; Ciorstaidh (Ceol &amp; Coisir)</t>
  </si>
  <si>
    <t>Lynne Macphee Nianh, Grace &amp; Ciorstaidh (Main Feis)</t>
  </si>
  <si>
    <t>E Shields Willow (Main Feis)</t>
  </si>
  <si>
    <t>Stripe Payments UK Feis Na H-Oige  (Main Feis)</t>
  </si>
  <si>
    <t>Robertson C &amp; S Raffles  (Main Feis)</t>
  </si>
  <si>
    <t>E Pollard Lilly Mac Merch (Main Feis)</t>
  </si>
  <si>
    <t>Edward Zachary Tutor fee (Main Feis)</t>
  </si>
  <si>
    <t>Mairi Gilfedder Tutor fee (Main Feis)</t>
  </si>
  <si>
    <t>Angus Macphee Tutor fee (Main Feis)</t>
  </si>
  <si>
    <t>Peggy Barker tutor fee (Main Feis)</t>
  </si>
  <si>
    <t>Niamh Cuthbert Supervisor fee (Main Feis)</t>
  </si>
  <si>
    <t>Jamie Mackenzie Ceilidh Fee (Main Feis)</t>
  </si>
  <si>
    <t>Mairi Gilfedder Ceilidh Fee (Main Feis)</t>
  </si>
  <si>
    <t>Elizabeth Mulholland Ceilidh Fee (Main Feis)</t>
  </si>
  <si>
    <t>Dolina Grant Starbucks Vouchers (Main Feis)</t>
  </si>
  <si>
    <t>MacDonald S&amp;W Feis refund (Main Feis)</t>
  </si>
  <si>
    <t>Fiona Mackenzie food receipts (main Feis)</t>
  </si>
  <si>
    <t>Inverness city</t>
  </si>
  <si>
    <t>Saturday Workshop Jan 25 (Sat Workshop)</t>
  </si>
  <si>
    <t>Saturday Workshop March 25 (Sat Workshop)</t>
  </si>
  <si>
    <t>Coisir, Ceol &amp; Sienn term 3 (Coisir)</t>
  </si>
  <si>
    <t>Coisir, Ceol &amp; Sienn term 4  (Coisir)</t>
  </si>
  <si>
    <t>Saturday Workshop  April 25 (Sat Workshop)</t>
  </si>
  <si>
    <t>Saturday Workshop May  25 (Sat Workshop)</t>
  </si>
  <si>
    <t>Feis Week (Main Feis)</t>
  </si>
  <si>
    <t>T-Shirts</t>
  </si>
  <si>
    <t xml:space="preserve"> Saturday 21st September 2024</t>
  </si>
  <si>
    <t>Saturday 16th  November 2024</t>
  </si>
  <si>
    <t>Saturday 7th December 2024</t>
  </si>
  <si>
    <t>Saturday 18th January 2025</t>
  </si>
  <si>
    <t>Saturday 15th  March 2025</t>
  </si>
  <si>
    <t>Saturday 26th April 2025</t>
  </si>
  <si>
    <t>Saturday 17th May 2025</t>
  </si>
  <si>
    <t>SEINN, COISIR &amp; CEOL</t>
  </si>
  <si>
    <t>Ceol students @ £18</t>
  </si>
  <si>
    <t>Ceol students @ £9</t>
  </si>
  <si>
    <t>October - December 2024
Term 2</t>
  </si>
  <si>
    <t>August  - October 2024
Term 1</t>
  </si>
  <si>
    <t>January - March 2025
Term 3</t>
  </si>
  <si>
    <t>April - June 2025
Term 4</t>
  </si>
  <si>
    <r>
      <t xml:space="preserve">Aug - Oct 2025 </t>
    </r>
    <r>
      <rPr>
        <b/>
        <sz val="12"/>
        <color rgb="FFFF0000"/>
        <rFont val="Calibri"/>
        <family val="2"/>
        <scheme val="minor"/>
      </rPr>
      <t>ONLINE PAID IN ADVANCE</t>
    </r>
  </si>
  <si>
    <t>Ceol Tutors Fee - Iain Murdo MacMillan</t>
  </si>
  <si>
    <t>Seinn Tutors Fee - Clare MacLean</t>
  </si>
  <si>
    <t>Seinn Tutors Fee - Janice Boag</t>
  </si>
  <si>
    <t>Weekly Seinn, Coisir &amp; Ceol Lessons</t>
  </si>
  <si>
    <t>Receipts paid to Kirsteen Russell for Seinn, Coisir &amp; Ceol expenses</t>
  </si>
  <si>
    <t>Receipts</t>
  </si>
  <si>
    <t>Scotmid</t>
  </si>
  <si>
    <t>Poundland</t>
  </si>
  <si>
    <t>Trophy Centre</t>
  </si>
  <si>
    <t>Feis Bheag Tutors - Eilidh Russell</t>
  </si>
  <si>
    <t>Feis Bheag Tutors - Mary Jane Williamson</t>
  </si>
  <si>
    <t>Feis Mhor Tutors - Jamie McKenzie</t>
  </si>
  <si>
    <t>Feis Mhor Tutors - Saffron Hanvidge</t>
  </si>
  <si>
    <t>Feis Mhor Tutors - Clare MacLean</t>
  </si>
  <si>
    <t>Feis Mhor Tutors - Iain Murdo MacMillan</t>
  </si>
  <si>
    <t>ASDA crisps</t>
  </si>
  <si>
    <t>Poundland sundries</t>
  </si>
  <si>
    <t>Expenses receipts</t>
  </si>
  <si>
    <t>Feis Mhor Tutors - Mairi Buxton</t>
  </si>
  <si>
    <t>Feis Mhor Tutors - Monica Neeling</t>
  </si>
  <si>
    <t>Home Bargins Paper</t>
  </si>
  <si>
    <t>Expenses - Tesco Snacks</t>
  </si>
  <si>
    <t>Feis Bheag Tutors - Sandra MacLeod</t>
  </si>
  <si>
    <t>Feis Bheag Tutors - Lauren Nicolson</t>
  </si>
  <si>
    <t>Feis Mhor Tutors - Mairi Laing</t>
  </si>
  <si>
    <t>Feis Mhor Tutors - Mairi T Gilfeder</t>
  </si>
  <si>
    <t>LIDL snack</t>
  </si>
  <si>
    <t>ALDI snack</t>
  </si>
  <si>
    <t xml:space="preserve">Feis Bheag students </t>
  </si>
  <si>
    <t>Feis Mhor students</t>
  </si>
  <si>
    <t>Macleod</t>
  </si>
  <si>
    <t>McFaul</t>
  </si>
  <si>
    <t>MacPhee</t>
  </si>
  <si>
    <t>Shields</t>
  </si>
  <si>
    <t>Stripe Payments</t>
  </si>
  <si>
    <t>Checks</t>
  </si>
  <si>
    <t>Roll to Bottle</t>
  </si>
  <si>
    <t>Merchandise sales</t>
  </si>
  <si>
    <t>banked 889.68 see main feis tab for info on cash paid out to</t>
  </si>
  <si>
    <t>Check</t>
  </si>
  <si>
    <t>14th July 2025</t>
  </si>
  <si>
    <t>5 day Feis - Income from Attendance</t>
  </si>
  <si>
    <t>5 day feis - income from fundraising &amp; merchandise</t>
  </si>
  <si>
    <t>Mairi T Gilfedder</t>
  </si>
  <si>
    <t>Angus MacPhee</t>
  </si>
  <si>
    <t>Peggi Barker</t>
  </si>
  <si>
    <t>Niamh Cuthbert</t>
  </si>
  <si>
    <t>Fiona Mackenzie - cook</t>
  </si>
  <si>
    <t>Jamie Mackenzie - Ceilidh</t>
  </si>
  <si>
    <t>Mairi T Gilfedder - Ceilidh</t>
  </si>
  <si>
    <t>Lisa Mulholland - Ceilidh</t>
  </si>
  <si>
    <t>Fiona Mackenzie - cook expenses</t>
  </si>
  <si>
    <t>Dolina Grant repay Starbucks 20x9 expenses</t>
  </si>
  <si>
    <t>Refund of S MacDonald double payment</t>
  </si>
  <si>
    <t>Expenses Receipts cash *</t>
  </si>
  <si>
    <t>ALDI craft</t>
  </si>
  <si>
    <t>Poundland craft</t>
  </si>
  <si>
    <t>Works craft</t>
  </si>
  <si>
    <t>Range craft</t>
  </si>
  <si>
    <t>Hobbycraft craft</t>
  </si>
  <si>
    <t>Amazon craft</t>
  </si>
  <si>
    <t>Co-op food</t>
  </si>
  <si>
    <t>HB stationary</t>
  </si>
  <si>
    <t>B&amp;M rail</t>
  </si>
  <si>
    <t>Shein socks</t>
  </si>
  <si>
    <t>Ebay wristbands</t>
  </si>
  <si>
    <t>ASDA stationary</t>
  </si>
  <si>
    <t xml:space="preserve">MAIN feis - Tutor fees &amp; expensess </t>
  </si>
  <si>
    <t>MAIN feis - General expenses</t>
  </si>
  <si>
    <t>Bank of Scotland Foundation Grant</t>
  </si>
  <si>
    <t>Feisean Nan Gaidheal - Tasgadh Grant</t>
  </si>
  <si>
    <t>Eadarainn Donation</t>
  </si>
  <si>
    <t>Bord Na Gaidhlig Club Dihaoine Grant</t>
  </si>
  <si>
    <t>Highland Council MOD workshop Grant</t>
  </si>
  <si>
    <t>Feisean Nan Gaidheal - Classes Grant</t>
  </si>
  <si>
    <t>Feisean Nan Gaidheal - Insurance refund</t>
  </si>
  <si>
    <t>Coisir Ghaidhlig Inbhir Nis Donation</t>
  </si>
  <si>
    <t>Highland Council Lets April / May</t>
  </si>
  <si>
    <t>Highland Council Lets Main Feis</t>
  </si>
  <si>
    <t>Highland Council Lets Nov / Dec</t>
  </si>
  <si>
    <t>Feisean Nan Gaidheal Membership</t>
  </si>
  <si>
    <t>AGM Expenses paid to Kirsteen Russell</t>
  </si>
  <si>
    <t>Storage Cabnet charge paid to Kirsteen Russell</t>
  </si>
  <si>
    <t>Policy bee Insurance paid to Kirsteen Russell</t>
  </si>
  <si>
    <t>Highland Council Lets Jan / March</t>
  </si>
  <si>
    <t>TSB service charge</t>
  </si>
  <si>
    <t>Eden Court Committee meeting paid to Kirsteen Russell</t>
  </si>
  <si>
    <t>Hou Hou mei Accountant thank you paid to Kirsteen Russell</t>
  </si>
  <si>
    <t>Eilidh Russell the Gathering</t>
  </si>
  <si>
    <t>General Income</t>
  </si>
  <si>
    <t>CLUB G   / CLUB DIHAOINE / MOD</t>
  </si>
  <si>
    <t>2 May to 27 June 2025</t>
  </si>
  <si>
    <t>Club Dihaoine</t>
  </si>
  <si>
    <t>Club Dihaoine students @ £25</t>
  </si>
  <si>
    <t>Club Dihaoine students @ £20</t>
  </si>
  <si>
    <t>Club Dihaoine students @ £10</t>
  </si>
  <si>
    <t>Club Dihaoine students @ £5</t>
  </si>
  <si>
    <t>Club Dihaoine students @ £15</t>
  </si>
  <si>
    <t>May - June</t>
  </si>
  <si>
    <t>Club Dihaoine Tutors Fee Karen Oakley</t>
  </si>
  <si>
    <t>Highland Council MOD expense award</t>
  </si>
  <si>
    <t>Highland Council Club D Grant</t>
  </si>
  <si>
    <t>Club Dihaoine Tutors Fee Mairi T Gilfodder</t>
  </si>
  <si>
    <t>Hall Hire Green Drive</t>
  </si>
  <si>
    <t>Expenses paid to Kirsteen Russell</t>
  </si>
  <si>
    <t>Expenses Receipt</t>
  </si>
  <si>
    <t>ASDA fruit</t>
  </si>
  <si>
    <t xml:space="preserve">Sept Workshop (single day Feis) </t>
  </si>
  <si>
    <t>Club Dihaoine Tutors Fee Iain Murdo Macmillan</t>
  </si>
  <si>
    <t>Club Dihaoine Tutors Fee Janice Boag</t>
  </si>
  <si>
    <t>LIDL snacks</t>
  </si>
  <si>
    <t>ASDA snacks</t>
  </si>
  <si>
    <t>ALDI snacks</t>
  </si>
  <si>
    <t>LIDL printer paper</t>
  </si>
  <si>
    <t>An Comunn MOD programme</t>
  </si>
  <si>
    <t>An Comunn Gaidhealach MOD Entries Ian Murdo MacMillan</t>
  </si>
  <si>
    <t>Travelodge MOD accomodation paid to Kirsteen Russell</t>
  </si>
  <si>
    <t>May - June 2025</t>
  </si>
  <si>
    <t>Seinn Class 1 students @ £24</t>
  </si>
  <si>
    <t>Seinn Class 1 students @ £12</t>
  </si>
  <si>
    <t>Seinn Class 2 students @ £24</t>
  </si>
  <si>
    <t>Seinn Class 2 students @ £12</t>
  </si>
  <si>
    <t>Seinn Class 2 students @ £9</t>
  </si>
  <si>
    <t>Seinn Class 1 students @ £36</t>
  </si>
  <si>
    <t>Seinn Class 1 students @ £18</t>
  </si>
  <si>
    <t>Seinn Class 2 students @ £36</t>
  </si>
  <si>
    <t>Seinn Class 2 students @ £18</t>
  </si>
  <si>
    <t>Seinn Class 2 students @ £16.5</t>
  </si>
  <si>
    <t>Seinn Class 2 students @ £33</t>
  </si>
  <si>
    <t>MOD Grant Expenses Payments to parents</t>
  </si>
  <si>
    <t>Seinn Class 1 students @ £9</t>
  </si>
  <si>
    <t>Sienn Class 2 students @ £18</t>
  </si>
  <si>
    <t>Seinn Class 2 students @ £21</t>
  </si>
  <si>
    <t>Coisir students @ £24</t>
  </si>
  <si>
    <t>Coisir students @ £6</t>
  </si>
  <si>
    <t xml:space="preserve">Coisir </t>
  </si>
  <si>
    <t>Closing &amp; opening balance for accounts year 24/25</t>
  </si>
  <si>
    <t>Coisir students @ £36</t>
  </si>
  <si>
    <t>Ceol students @ £26</t>
  </si>
  <si>
    <t>Ceol students @ £24</t>
  </si>
  <si>
    <t>Ceol students @ £12</t>
  </si>
  <si>
    <t>Ceol students @ £6</t>
  </si>
  <si>
    <t>Ceol</t>
  </si>
  <si>
    <t>Ceol students @ £36</t>
  </si>
  <si>
    <t>The Food Warehouse sweets</t>
  </si>
  <si>
    <t>Morrisons biscuits</t>
  </si>
  <si>
    <t>ALDI crisps</t>
  </si>
  <si>
    <t>LIDL crisps</t>
  </si>
  <si>
    <t>Farmfoods biscuits</t>
  </si>
  <si>
    <t>Tesco breadsticks</t>
  </si>
  <si>
    <t>ASDA biscuits</t>
  </si>
  <si>
    <t>ALDI ice lollies</t>
  </si>
  <si>
    <t xml:space="preserve">Receipts paid to Kirsteen Russell </t>
  </si>
  <si>
    <t>Receipts paid to Kirsteen Russell</t>
  </si>
  <si>
    <t>Seinn, Coisir &amp; Ceol</t>
  </si>
  <si>
    <t>M Neeling - Jaz (Coisir)</t>
  </si>
  <si>
    <t>Kirsteen Russell Repayment of Club G receipts (Club G)</t>
  </si>
  <si>
    <t>Alyth &amp; Finlay Macmillan</t>
  </si>
  <si>
    <t>Anna Rose &amp; Iseabail Pollock</t>
  </si>
  <si>
    <t xml:space="preserve"> Anna MacLean</t>
  </si>
  <si>
    <t>Aoibhe Doorley</t>
  </si>
  <si>
    <t xml:space="preserve"> Catorina NicDhomhnaill</t>
  </si>
  <si>
    <t>Charlotte Morrison</t>
  </si>
  <si>
    <t>Halle Cran</t>
  </si>
  <si>
    <t>Iain, Alasdair &amp; Ruaraidh MacLeod</t>
  </si>
  <si>
    <t>Isla MacKenzie</t>
  </si>
  <si>
    <t>Isla Swanson</t>
  </si>
  <si>
    <t>Isobel &amp; Keir Simpson</t>
  </si>
  <si>
    <t>Jamie, Eobhidh &amp; Eilidh Chapman</t>
  </si>
  <si>
    <t>Katie Walker</t>
  </si>
  <si>
    <t>Lucy Hilton</t>
  </si>
  <si>
    <t>Maeve Sandilands</t>
  </si>
  <si>
    <t>Megan &amp; Bella MacDonald</t>
  </si>
  <si>
    <t>Niamh, Grace &amp; Ciorsaidh MacPhee</t>
  </si>
  <si>
    <t>Ross &amp; Claire MacKenzie</t>
  </si>
  <si>
    <t>Sophie Bertram</t>
  </si>
  <si>
    <t>Erin Greig</t>
  </si>
  <si>
    <t>Club Dihaoine (Club g)</t>
  </si>
  <si>
    <t>Coisir Ghaidhlig Inverness GC (Grants)</t>
  </si>
  <si>
    <t>Kirsteen Russell Club G Receipts (Club G)</t>
  </si>
  <si>
    <t>Kirsteen Russell Coisir Receipts (Seinn, Coisir &amp; Ceol)</t>
  </si>
  <si>
    <t>Kirsteen Russell Coisir Snacks (Seinn, Coisir &amp; Ceol)</t>
  </si>
  <si>
    <t>Donald Ferguson Islabelle Ferguson (Seinn)</t>
  </si>
  <si>
    <t>Coll Murchison Mairead Anna MacDonald (Sienn)</t>
  </si>
  <si>
    <t>Alison McGlashan Chapmans x3 jamie, Eudhidh &amp; Eilidh (Coisir &amp; Seinn)</t>
  </si>
  <si>
    <t>Macneil CA Amelia MacGregor (Seinn)</t>
  </si>
  <si>
    <t>Helen Bailey and E Bailey Alexander (Coisir &amp; Seinn)</t>
  </si>
  <si>
    <t>Eilidh Macleod (Seinn)</t>
  </si>
  <si>
    <t>Jess Kemp  Zadie Kemp (seinn)</t>
  </si>
  <si>
    <t>Whyte Louise Olivia Whyte (Seinn)</t>
  </si>
  <si>
    <t>Dalgetty Fiona Nisbet boys (Coisir &amp; Seinn)</t>
  </si>
  <si>
    <t>Katherine Neilson Chloe Neilson  (Seinn)</t>
  </si>
  <si>
    <t>Eilidh &amp; Murdo Macleod (Coisir &amp; Seinn)</t>
  </si>
  <si>
    <t>Campbell KA Belle Campbell (Seinn)</t>
  </si>
  <si>
    <t>A Pelikan Niamh Pelikan (Seinn)</t>
  </si>
  <si>
    <t>Highland Council  (Grants)</t>
  </si>
  <si>
    <t>Rigby Mem Magnus Rigby (Seinn)</t>
  </si>
  <si>
    <t>K Smith Daniel Pickard (Coisir)</t>
  </si>
  <si>
    <t>Katie Walker (Ceol)</t>
  </si>
  <si>
    <t>A Macleod Iain Macleod (Ceol)</t>
  </si>
  <si>
    <t>Aoibhe Doorley (Ceol)</t>
  </si>
  <si>
    <t>Mackenzie B&amp;S Isla Mackenzie (Ceol)</t>
  </si>
  <si>
    <t>Macdonald K M / CA Megan &amp; Bella (Coisir &amp; Ceol )</t>
  </si>
  <si>
    <t>Charlotte Morrison (Ceol)</t>
  </si>
  <si>
    <t>Matthew Hilton Lucy Hilton (Ceol)</t>
  </si>
  <si>
    <t>Clare Maclean Anna Maclean (Ceol)</t>
  </si>
  <si>
    <t>Clare Maclean Anna Maclean(Ceol)</t>
  </si>
  <si>
    <t>Domhnall MacDonald Catrina (Ceol)</t>
  </si>
  <si>
    <t>S Mackenzie Anna Rose &amp; Ishbel Pollock (Ceol)</t>
  </si>
  <si>
    <t>Swanson Isla Swanson (Ceol)</t>
  </si>
  <si>
    <t>Macdonald K M / CA Megan Bella  (Ceol &amp; Coisir)</t>
  </si>
  <si>
    <t>E Pollard Lilly MacLean (Seinn)</t>
  </si>
  <si>
    <t>A Stewart Sophie Stewart (Ceol)</t>
  </si>
  <si>
    <t>Colin Sandilands Maeve Sandilands (Ceol)</t>
  </si>
  <si>
    <t>Williams Lyra Ava &amp; Hunter Williams (Coisir &amp; Ceol)</t>
  </si>
  <si>
    <t>Mackenzie Isla Mackenzie (Ceol)</t>
  </si>
  <si>
    <t>S Mackenzie Anna Rose &amp; Isebail Pollock (Ceol)</t>
  </si>
  <si>
    <t>Mairi Gillies Sophie Bertram (Ceol)</t>
  </si>
  <si>
    <t>D &amp; J Boag MOD Club (Club G)</t>
  </si>
  <si>
    <t>Iain Murdo MacMillan MOD club (Club G)</t>
  </si>
  <si>
    <t>S MacQueen Lachie MacQueen (Coisir)</t>
  </si>
  <si>
    <t>Halle Cran (Ceol)</t>
  </si>
  <si>
    <t>Macinnes Eilidh Macinnes  (Coisir)</t>
  </si>
  <si>
    <t>R Harper Elodie-Anne Harper (Coisir)</t>
  </si>
  <si>
    <t>R Harper Scarlet Harper (Coisir)</t>
  </si>
  <si>
    <t>Colin Sandilands Maeve  Sandilands (Ceol)</t>
  </si>
  <si>
    <t>R Nairn Millie Anderson (Coisir)</t>
  </si>
  <si>
    <t>Walker Katie Walker (Ceol)</t>
  </si>
  <si>
    <t>Matthew Banks Eve Banks (Coisir)</t>
  </si>
  <si>
    <t>Eilidh Macleod (Coisir)</t>
  </si>
  <si>
    <t>Donaldson KF Aela Donaldson  (Coisir)</t>
  </si>
  <si>
    <t>Iona &amp; Kirsty Wilson (Ceol)</t>
  </si>
  <si>
    <t>Macdonald K M / CA Megan &amp;  Bella (Coisir &amp; Ceol )</t>
  </si>
  <si>
    <t>A Macleod Alasdair Macleod (Club G)</t>
  </si>
  <si>
    <t>Macdonald K M / CA Megan club g (Club G)</t>
  </si>
  <si>
    <t>Clare Maclean Anna Maclean (Club G)</t>
  </si>
  <si>
    <t>Macdonald K M / CA Megan  (Club G)</t>
  </si>
  <si>
    <t>Katherine Neilson Chloe Neilson (Sinn)</t>
  </si>
  <si>
    <t>L Gibbins Lindsey Gibbins Elara Ashmore (Coisir)</t>
  </si>
  <si>
    <t>Kirsteen Russell feis receipts AGM Expenses (General Inc &amp; Exp)</t>
  </si>
  <si>
    <t>Kirsteen Russell feis storage (General Inc &amp; Exp)</t>
  </si>
  <si>
    <t>Service Charges (General Inc &amp; Exp)</t>
  </si>
  <si>
    <t>Kirsteen Russell feis insurance (General Inc &amp; Exp)</t>
  </si>
  <si>
    <t>Kirsteen Russell feis MOD accomodation (Club G)</t>
  </si>
  <si>
    <t>Karen Oakley Club G (Club G)</t>
  </si>
  <si>
    <t>Kirsteen Russell Committee meeting (General Inc &amp; Exp)</t>
  </si>
  <si>
    <t>Eilidh Russell The Gathering (General Inc &amp; Exp)</t>
  </si>
  <si>
    <t>Lauren Nicolson The Gathering (General Inc &amp; Exp)</t>
  </si>
  <si>
    <t>Mairi Gilfedder Club G (Club G)</t>
  </si>
  <si>
    <t>Green Hall Drive hall hire (Club G)</t>
  </si>
  <si>
    <t>Kirsteen Russell receipts (Seinn, Coisir &amp; Ceol)</t>
  </si>
  <si>
    <t>Callum MacMillian MOD (Club G)</t>
  </si>
  <si>
    <t>Clare MacLean MOD (Club G)</t>
  </si>
  <si>
    <t>Lisa Cran MOD (Club G)</t>
  </si>
  <si>
    <t>A MacLeod MOD (Club G)</t>
  </si>
  <si>
    <t>B &amp; S Mackenzie MOD (Club G)</t>
  </si>
  <si>
    <t>Dr Sian Jones MOD (Club G)</t>
  </si>
  <si>
    <t>Nicola Simpson MOD (Club G)</t>
  </si>
  <si>
    <t>Mr Kenneth M MacDonald MOD (Club G)</t>
  </si>
  <si>
    <t>Lynne MacPhee MOD (Club G)</t>
  </si>
  <si>
    <t>M &amp; F Mackenzie MOD (Club G)</t>
  </si>
  <si>
    <t>Mairi Gillies MOD (Club G)</t>
  </si>
  <si>
    <t>Sian Mackenzie MOD (Club G)</t>
  </si>
  <si>
    <t>Julie Doorley MOD (Club G)</t>
  </si>
  <si>
    <t>Amanda Morrison MOD (Club G)</t>
  </si>
  <si>
    <t>Alison McGlashan MOD (Club G)</t>
  </si>
  <si>
    <t>Lena Walker MOD (Club G)</t>
  </si>
  <si>
    <t>Sandra Hilton MOD (Club G)</t>
  </si>
  <si>
    <t>Domhnall MacDonald MOD (Club G)</t>
  </si>
  <si>
    <t>Rachel MC Sandilan MOD (Club G)</t>
  </si>
  <si>
    <t>Kathleen Thomson (Club G)</t>
  </si>
  <si>
    <t>C Macsween Olivia MacSween (Coisir)</t>
  </si>
  <si>
    <t>Bank of Scotland BOS Foundation (Grants)</t>
  </si>
  <si>
    <t>Donations (Grants)</t>
  </si>
  <si>
    <t>Campbell KA Belle Campbell (Coisir)</t>
  </si>
  <si>
    <t>Emily Murchison Mairead Anna (Seinn &amp; Coisir)</t>
  </si>
  <si>
    <t>banked 96</t>
  </si>
  <si>
    <t>Oct - Dec 
Term 2</t>
  </si>
  <si>
    <t>Jan - March
Term 3</t>
  </si>
  <si>
    <t>April - June
Term 4</t>
  </si>
  <si>
    <t>Banked 27</t>
  </si>
  <si>
    <t>Banked 72</t>
  </si>
  <si>
    <t>Ceol students @ £15</t>
  </si>
  <si>
    <t>Ceol students @ £4.50</t>
  </si>
  <si>
    <t>Paid in Aug for next terms seinn</t>
  </si>
  <si>
    <t>Highland Council (grants)</t>
  </si>
  <si>
    <t>Murphy KM Aria Murphy (seinn)</t>
  </si>
  <si>
    <t>Macrae J/CA Imogen Macrae-Keel (Seinn)</t>
  </si>
  <si>
    <t>Feis Bheag Tutors - Katie Russell</t>
  </si>
  <si>
    <t>Sainsburys Jugs</t>
  </si>
  <si>
    <t>Feis Mhor Tutors - Anna Biddulph</t>
  </si>
  <si>
    <t>Expenses Tescos</t>
  </si>
  <si>
    <t>Feis Mhor Tutors - Stuart MacKintosh</t>
  </si>
  <si>
    <t>ALDI party food</t>
  </si>
  <si>
    <t>Poundland Crisps</t>
  </si>
  <si>
    <t>TESCO vouchers</t>
  </si>
  <si>
    <t>Emily Murchison Catriona (Seinn)</t>
  </si>
  <si>
    <t>Iain Murdo MacMillan local MOD entry fee (Club G)</t>
  </si>
  <si>
    <t>Isla Mackenzie (Ceol)</t>
  </si>
  <si>
    <t>S Mackenzie Anna Rose &amp; Ishbail Pollock (Ceol &amp; Coisir)</t>
  </si>
  <si>
    <t>Edward Zachary</t>
  </si>
  <si>
    <t>Clare MacLean Overpayment Ceol</t>
  </si>
  <si>
    <t>Miss LC Gibbons Overpayment Coisir</t>
  </si>
  <si>
    <t>General  Income &amp; Expenditure</t>
  </si>
  <si>
    <t>Dalgetty Fiona Nisbet boys Fraser Nisbet (Seinn &amp; Coisir)</t>
  </si>
  <si>
    <t>A Macleod Iain, Ruaraidh &amp; Alasdair Macleod (Coisir &amp; Ceol)</t>
  </si>
  <si>
    <t>C Gulletta James Norman &amp; Catherine Gulletta (Seinn)</t>
  </si>
  <si>
    <t>N Simpson Isobel &amp; Keir Simpson ( Coisir)</t>
  </si>
  <si>
    <t>E Macinnes Katie &amp; Lexie Macinnes (Coisir)</t>
  </si>
  <si>
    <t>S Mackenzie Anna Rose &amp; Iseabail Pollock (Coisir &amp; Ceol)</t>
  </si>
  <si>
    <t>Iona &amp; Kirsty Wilson (Coisir &amp; Ceol)</t>
  </si>
  <si>
    <t>Macleod D &amp; H Lewis &amp; Callan Macleod (Coisir)</t>
  </si>
  <si>
    <t>Mackenzie M &amp; F CA Ross &amp; Claire (Coisir &amp; Ceol)</t>
  </si>
  <si>
    <t>Helen Bailey &amp; Alexander &amp; Emily Bailey  (Coisir)</t>
  </si>
  <si>
    <t>N Simpson Isobel &amp; Keir Simpson ( Coisir )</t>
  </si>
  <si>
    <t>C Gulletta James Norman &amp; Catherine Gulletta (Seinn &amp; Coisir)</t>
  </si>
  <si>
    <t>Macneil CA Amelia MacGregor (Coisir)</t>
  </si>
  <si>
    <t>Williams Lyra &amp; Hunter Williams (Coisir)</t>
  </si>
  <si>
    <t>Macleod D &amp; H Lewis &amp; Callam Macleod (Seinn &amp; Coisir)</t>
  </si>
  <si>
    <t>Helen Bailey and Emily &amp;  Alexander Bailey (Coisir )</t>
  </si>
  <si>
    <t>E Macinnes Katie  &amp; Lexie Macinnes (Coisir)</t>
  </si>
  <si>
    <t>L Smith Eilidh &amp; Karis Smith (Coisir &amp; Seinn)</t>
  </si>
  <si>
    <t>Domhnall MacDonald Catriona Nic(Ceol)</t>
  </si>
  <si>
    <t>Macneil CA Amelia MaGregor (Coisir)</t>
  </si>
  <si>
    <t>C Gulletta James Norman  Catherine Gulletta (Coisir)</t>
  </si>
  <si>
    <t>Kathleen Thomson Erin Greig (Ceol)</t>
  </si>
  <si>
    <t xml:space="preserve">Macdonald K M / CA Megan &amp; Bella ( Ceol &amp; Coisir) </t>
  </si>
  <si>
    <t>Helen Bailey Emily &amp; Alexander Bailey (Coisir )</t>
  </si>
  <si>
    <t>Macmillan Finlay &amp; Alyth (Coisir &amp; Ceol )</t>
  </si>
  <si>
    <t>Macneil CA Amelia McGregor  (Coisir)</t>
  </si>
  <si>
    <t>Seinn, Coisir, Ceol</t>
  </si>
  <si>
    <t>Seinn, Coisir, Ceol Exp</t>
  </si>
  <si>
    <t>Aug - Oct 2025</t>
  </si>
  <si>
    <t>Seinn lessons Aug to Oct Term 1</t>
  </si>
  <si>
    <t>Seinn lessons Oct to Dec Term 2</t>
  </si>
  <si>
    <t>Seinn lessons Jan to March Term 3</t>
  </si>
  <si>
    <t>Seinn lessons April to June Term 4</t>
  </si>
  <si>
    <t>Coisir lessons Aug to Oct Term 1</t>
  </si>
  <si>
    <t>Coisir lessons Oct to Dec Term 2</t>
  </si>
  <si>
    <t>Coisir lessons Jan to March Term 3</t>
  </si>
  <si>
    <t>Coisir lessons April to June Term 4</t>
  </si>
  <si>
    <t>Coisir lessons Aug to Oct (paid in advance) Term 1</t>
  </si>
  <si>
    <t>Ceol lessons Aug to Oct Term 1</t>
  </si>
  <si>
    <t>Ceol lessons Oct to Dec Term 2</t>
  </si>
  <si>
    <t>Ceol lessons Jan to March Term 3</t>
  </si>
  <si>
    <t>Ceol lessons April to June Term 4</t>
  </si>
  <si>
    <t>Seinn, Coisir &amp; Ceol lessons Aug to Oct  tutor fee &amp; Expenses Term 1</t>
  </si>
  <si>
    <t>Seinn, Coisir &amp; Ceol lessons Oct to Dec tutor fee &amp; Expenses Term 2</t>
  </si>
  <si>
    <t>Seinn, Coisir &amp; Ceol lessons Jan to March tutor fee &amp; Expenses Term 3</t>
  </si>
  <si>
    <t>Seinn, Coisir &amp; Ceol lessons April to June tutor fee &amp; Expenses Term 4</t>
  </si>
  <si>
    <t xml:space="preserve">Club Dihaoine </t>
  </si>
  <si>
    <t>Club D</t>
  </si>
  <si>
    <t>Club D exp</t>
  </si>
  <si>
    <t xml:space="preserve">Club G / MOD </t>
  </si>
  <si>
    <t>Club G / MOD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</si>
</sst>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&quot;£&quot;#,##0;[Red]\-&quot;£&quot;#,##0"/>
    <numFmt numFmtId="165" formatCode="&quot;£&quot;#,##0.00;[Red]\-&quot;£&quot;#,##0.00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_-&quot;£&quot;* #,##0.00_-;[Red]\-&quot;£&quot;* #,##0.00_-;_-&quot;£&quot;* &quot;-&quot;??_-;_-@_-"/>
    <numFmt numFmtId="169" formatCode="[$-809]dd\ mmm\ yyyy;@"/>
    <numFmt numFmtId="170" formatCode="&quot;£&quot;#,##0.00"/>
    <numFmt numFmtId="171" formatCode="[$-409]d\-mmm;@"/>
    <numFmt numFmtId="172" formatCode="_([$GBP]\ * #,##0.00_);_([$GBP]\ * \(#,##0.00\);_([$GBP]\ * &quot;-&quot;??_);_(@_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double">
        <color theme="1"/>
      </top>
      <bottom style="medium">
        <color theme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86">
    <xf numFmtId="0" fontId="0" fillId="0" borderId="0" xfId="0"/>
    <xf numFmtId="168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9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169" fontId="5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170" fontId="0" fillId="0" borderId="0" xfId="0" applyNumberFormat="1" applyAlignment="1">
      <alignment horizontal="center" vertical="center"/>
    </xf>
    <xf numFmtId="168" fontId="8" fillId="0" borderId="2" xfId="0" applyNumberFormat="1" applyFont="1" applyBorder="1" applyAlignment="1">
      <alignment vertical="center"/>
    </xf>
    <xf numFmtId="168" fontId="9" fillId="0" borderId="0" xfId="0" applyNumberFormat="1" applyFont="1" applyAlignment="1">
      <alignment vertical="center"/>
    </xf>
    <xf numFmtId="166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70" fontId="1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1" fillId="2" borderId="0" xfId="0" applyFont="1" applyFill="1"/>
    <xf numFmtId="0" fontId="1" fillId="2" borderId="0" xfId="0" applyFont="1" applyFill="1" applyAlignment="1">
      <alignment vertical="center"/>
    </xf>
    <xf numFmtId="168" fontId="1" fillId="2" borderId="4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8" fontId="1" fillId="0" borderId="5" xfId="0" applyNumberFormat="1" applyFont="1" applyBorder="1"/>
    <xf numFmtId="168" fontId="1" fillId="0" borderId="1" xfId="0" applyNumberFormat="1" applyFont="1" applyBorder="1"/>
    <xf numFmtId="168" fontId="1" fillId="0" borderId="7" xfId="0" applyNumberFormat="1" applyFont="1" applyBorder="1"/>
    <xf numFmtId="168" fontId="11" fillId="0" borderId="0" xfId="0" applyNumberFormat="1" applyFont="1"/>
    <xf numFmtId="168" fontId="12" fillId="0" borderId="1" xfId="0" applyNumberFormat="1" applyFont="1" applyBorder="1"/>
    <xf numFmtId="168" fontId="3" fillId="0" borderId="6" xfId="0" applyNumberFormat="1" applyFont="1" applyBorder="1"/>
    <xf numFmtId="169" fontId="13" fillId="0" borderId="0" xfId="0" applyNumberFormat="1" applyFont="1" applyAlignment="1">
      <alignment horizontal="center" vertical="center"/>
    </xf>
    <xf numFmtId="168" fontId="13" fillId="0" borderId="0" xfId="0" applyNumberFormat="1" applyFont="1" applyAlignment="1">
      <alignment vertical="center"/>
    </xf>
    <xf numFmtId="0" fontId="0" fillId="0" borderId="0" xfId="0" applyAlignment="1">
      <alignment wrapText="1"/>
    </xf>
    <xf numFmtId="166" fontId="1" fillId="2" borderId="0" xfId="0" applyNumberFormat="1" applyFont="1" applyFill="1" applyAlignment="1">
      <alignment vertical="center"/>
    </xf>
    <xf numFmtId="169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66" fontId="5" fillId="0" borderId="0" xfId="0" applyNumberFormat="1" applyFont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166" fontId="17" fillId="0" borderId="0" xfId="0" applyNumberFormat="1" applyFont="1" applyAlignment="1">
      <alignment horizontal="center"/>
    </xf>
    <xf numFmtId="0" fontId="5" fillId="0" borderId="0" xfId="0" applyFont="1"/>
    <xf numFmtId="166" fontId="3" fillId="0" borderId="0" xfId="0" applyNumberFormat="1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66" fontId="1" fillId="0" borderId="0" xfId="0" applyNumberFormat="1" applyFont="1"/>
    <xf numFmtId="0" fontId="15" fillId="0" borderId="0" xfId="0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64" fontId="0" fillId="0" borderId="0" xfId="0" applyNumberFormat="1"/>
    <xf numFmtId="49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/>
    </xf>
    <xf numFmtId="166" fontId="18" fillId="0" borderId="0" xfId="0" applyNumberFormat="1" applyFont="1"/>
    <xf numFmtId="166" fontId="19" fillId="0" borderId="0" xfId="0" applyNumberFormat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14" fontId="0" fillId="0" borderId="0" xfId="0" applyNumberFormat="1"/>
    <xf numFmtId="15" fontId="16" fillId="0" borderId="0" xfId="0" applyNumberFormat="1" applyFont="1" applyAlignment="1">
      <alignment vertical="center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/>
    </xf>
    <xf numFmtId="166" fontId="1" fillId="0" borderId="0" xfId="0" applyNumberFormat="1" applyFont="1" applyAlignment="1">
      <alignment vertical="center"/>
    </xf>
    <xf numFmtId="168" fontId="5" fillId="0" borderId="0" xfId="0" quotePrefix="1" applyNumberFormat="1" applyFont="1" applyAlignment="1">
      <alignment vertical="center"/>
    </xf>
    <xf numFmtId="168" fontId="21" fillId="0" borderId="0" xfId="0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168" fontId="11" fillId="0" borderId="0" xfId="0" applyNumberFormat="1" applyFont="1" applyAlignment="1">
      <alignment vertical="center"/>
    </xf>
    <xf numFmtId="170" fontId="0" fillId="0" borderId="0" xfId="0" applyNumberFormat="1"/>
    <xf numFmtId="170" fontId="1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 vertical="center"/>
    </xf>
    <xf numFmtId="0" fontId="24" fillId="0" borderId="0" xfId="0" applyFont="1" applyAlignment="1">
      <alignment horizontal="center"/>
    </xf>
    <xf numFmtId="166" fontId="3" fillId="0" borderId="0" xfId="0" applyNumberFormat="1" applyFont="1" applyProtection="1">
      <protection locked="0"/>
    </xf>
    <xf numFmtId="166" fontId="25" fillId="0" borderId="0" xfId="0" applyNumberFormat="1" applyFont="1" applyAlignment="1">
      <alignment horizont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wrapText="1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70" fontId="3" fillId="0" borderId="0" xfId="0" applyNumberFormat="1" applyFont="1"/>
    <xf numFmtId="49" fontId="0" fillId="0" borderId="0" xfId="0" applyNumberFormat="1" applyAlignment="1">
      <alignment horizontal="center" vertical="center"/>
    </xf>
    <xf numFmtId="0" fontId="24" fillId="0" borderId="0" xfId="0" applyFont="1"/>
    <xf numFmtId="165" fontId="0" fillId="0" borderId="0" xfId="0" applyNumberFormat="1"/>
    <xf numFmtId="165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170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67" fontId="1" fillId="0" borderId="0" xfId="0" applyNumberFormat="1" applyFont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7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166" fontId="0" fillId="0" borderId="0" xfId="0" applyNumberFormat="1" applyAlignment="1">
      <alignment horizontal="center"/>
    </xf>
    <xf numFmtId="166" fontId="18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wrapText="1"/>
    </xf>
    <xf numFmtId="17" fontId="0" fillId="0" borderId="0" xfId="0" applyNumberFormat="1" applyAlignment="1">
      <alignment horizontal="center" vertical="center"/>
    </xf>
    <xf numFmtId="0" fontId="23" fillId="0" borderId="0" xfId="0" applyFont="1" applyAlignment="1">
      <alignment vertical="center"/>
    </xf>
    <xf numFmtId="168" fontId="1" fillId="0" borderId="0" xfId="0" applyNumberFormat="1" applyFont="1"/>
    <xf numFmtId="168" fontId="12" fillId="0" borderId="0" xfId="0" applyNumberFormat="1" applyFont="1"/>
    <xf numFmtId="168" fontId="3" fillId="0" borderId="0" xfId="0" applyNumberFormat="1" applyFont="1"/>
    <xf numFmtId="168" fontId="5" fillId="0" borderId="0" xfId="0" applyNumberFormat="1" applyFont="1"/>
    <xf numFmtId="171" fontId="15" fillId="0" borderId="0" xfId="0" applyNumberFormat="1" applyFont="1" applyAlignment="1">
      <alignment horizontal="center"/>
    </xf>
    <xf numFmtId="171" fontId="16" fillId="0" borderId="0" xfId="0" applyNumberFormat="1" applyFont="1" applyAlignment="1">
      <alignment horizontal="center" vertical="center"/>
    </xf>
    <xf numFmtId="171" fontId="0" fillId="0" borderId="0" xfId="0" applyNumberFormat="1"/>
    <xf numFmtId="171" fontId="0" fillId="3" borderId="0" xfId="0" applyNumberFormat="1" applyFill="1"/>
    <xf numFmtId="171" fontId="18" fillId="0" borderId="0" xfId="0" applyNumberFormat="1" applyFont="1"/>
    <xf numFmtId="43" fontId="1" fillId="0" borderId="0" xfId="0" applyNumberFormat="1" applyFont="1"/>
    <xf numFmtId="172" fontId="0" fillId="0" borderId="0" xfId="0" applyNumberFormat="1"/>
    <xf numFmtId="170" fontId="1" fillId="0" borderId="0" xfId="0" applyNumberFormat="1" applyFont="1"/>
    <xf numFmtId="4" fontId="1" fillId="0" borderId="0" xfId="0" applyNumberFormat="1" applyFont="1"/>
    <xf numFmtId="171" fontId="0" fillId="0" borderId="0" xfId="0" applyNumberFormat="1" applyAlignment="1">
      <alignment horizontal="center" vertical="center"/>
    </xf>
    <xf numFmtId="171" fontId="1" fillId="0" borderId="0" xfId="0" applyNumberFormat="1" applyFont="1" applyAlignment="1">
      <alignment horizontal="center" vertical="center"/>
    </xf>
    <xf numFmtId="171" fontId="0" fillId="4" borderId="0" xfId="0" applyNumberFormat="1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6" borderId="0" xfId="0" applyFill="1"/>
    <xf numFmtId="43" fontId="0" fillId="0" borderId="0" xfId="0" applyNumberFormat="1"/>
    <xf numFmtId="0" fontId="1" fillId="0" borderId="0" xfId="0" applyFont="1" applyAlignment="1">
      <alignment horizontal="left"/>
    </xf>
    <xf numFmtId="0" fontId="0" fillId="3" borderId="0" xfId="0" applyFill="1" applyAlignment="1">
      <alignment horizontal="center" wrapText="1"/>
    </xf>
    <xf numFmtId="0" fontId="18" fillId="0" borderId="0" xfId="0" applyFont="1" applyAlignment="1">
      <alignment horizontal="center" wrapText="1"/>
    </xf>
    <xf numFmtId="17" fontId="0" fillId="0" borderId="0" xfId="0" applyNumberFormat="1" applyAlignment="1">
      <alignment vertical="center"/>
    </xf>
    <xf numFmtId="43" fontId="26" fillId="0" borderId="0" xfId="0" applyNumberFormat="1" applyFont="1"/>
    <xf numFmtId="170" fontId="0" fillId="2" borderId="0" xfId="0" applyNumberFormat="1" applyFill="1" applyAlignment="1">
      <alignment vertical="center"/>
    </xf>
    <xf numFmtId="170" fontId="5" fillId="0" borderId="0" xfId="0" applyNumberFormat="1" applyFont="1"/>
    <xf numFmtId="0" fontId="26" fillId="0" borderId="0" xfId="0" applyFont="1"/>
    <xf numFmtId="16" fontId="0" fillId="0" borderId="0" xfId="0" applyNumberFormat="1"/>
    <xf numFmtId="0" fontId="0" fillId="0" borderId="0" xfId="0" applyAlignment="1">
      <alignment horizontal="left" vertical="center"/>
    </xf>
    <xf numFmtId="170" fontId="23" fillId="0" borderId="0" xfId="0" applyNumberFormat="1" applyFont="1" applyAlignment="1">
      <alignment vertical="center"/>
    </xf>
    <xf numFmtId="0" fontId="0" fillId="7" borderId="0" xfId="0" applyFill="1"/>
    <xf numFmtId="0" fontId="0" fillId="8" borderId="0" xfId="0" applyFill="1"/>
    <xf numFmtId="16" fontId="0" fillId="9" borderId="0" xfId="0" applyNumberFormat="1" applyFill="1" applyAlignment="1">
      <alignment horizontal="center" vertical="center"/>
    </xf>
    <xf numFmtId="0" fontId="0" fillId="9" borderId="0" xfId="0" applyFill="1"/>
    <xf numFmtId="0" fontId="0" fillId="10" borderId="0" xfId="0" applyFill="1"/>
    <xf numFmtId="0" fontId="1" fillId="0" borderId="0" xfId="0" applyFont="1" applyAlignment="1">
      <alignment horizontal="center" vertical="center"/>
    </xf>
    <xf numFmtId="0" fontId="11" fillId="0" borderId="0" xfId="0" applyFont="1"/>
    <xf numFmtId="171" fontId="0" fillId="5" borderId="0" xfId="0" applyNumberFormat="1" applyFill="1"/>
    <xf numFmtId="0" fontId="1" fillId="11" borderId="0" xfId="0" applyFont="1" applyFill="1"/>
    <xf numFmtId="0" fontId="0" fillId="11" borderId="0" xfId="0" applyFill="1"/>
    <xf numFmtId="171" fontId="0" fillId="0" borderId="0" xfId="0" applyNumberFormat="1" applyAlignment="1">
      <alignment horizontal="center"/>
    </xf>
    <xf numFmtId="166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11" borderId="0" xfId="0" applyFill="1" applyAlignment="1">
      <alignment wrapText="1"/>
    </xf>
    <xf numFmtId="170" fontId="0" fillId="10" borderId="0" xfId="0" applyNumberFormat="1" applyFill="1" applyAlignment="1">
      <alignment vertical="center"/>
    </xf>
    <xf numFmtId="170" fontId="0" fillId="12" borderId="0" xfId="0" applyNumberFormat="1" applyFill="1" applyAlignment="1">
      <alignment vertical="center"/>
    </xf>
    <xf numFmtId="170" fontId="0" fillId="13" borderId="0" xfId="0" applyNumberFormat="1" applyFill="1" applyAlignment="1">
      <alignment vertical="center"/>
    </xf>
    <xf numFmtId="4" fontId="0" fillId="0" borderId="0" xfId="0" applyNumberFormat="1"/>
    <xf numFmtId="0" fontId="0" fillId="6" borderId="0" xfId="0" applyFill="1" applyAlignment="1">
      <alignment vertical="center"/>
    </xf>
    <xf numFmtId="0" fontId="11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17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7" fontId="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 vertical="center" wrapText="1"/>
    </xf>
    <xf numFmtId="16" fontId="0" fillId="0" borderId="0" xfId="0" applyNumberForma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 wrapText="1"/>
    </xf>
    <xf numFmtId="168" fontId="0" fillId="0" borderId="0" xfId="0" applyNumberFormat="1" applyFont="1"/>
    <xf numFmtId="0" fontId="0" fillId="0" borderId="0" xfId="0" applyFill="1"/>
    <xf numFmtId="49" fontId="0" fillId="0" borderId="0" xfId="0" applyNumberFormat="1" applyFill="1" applyAlignment="1">
      <alignment horizontal="center"/>
    </xf>
    <xf numFmtId="166" fontId="0" fillId="0" borderId="0" xfId="0" applyNumberFormat="1" applyFill="1"/>
    <xf numFmtId="171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166" fontId="1" fillId="0" borderId="0" xfId="0" applyNumberFormat="1" applyFont="1" applyFill="1"/>
    <xf numFmtId="166" fontId="5" fillId="0" borderId="0" xfId="0" applyNumberFormat="1" applyFont="1" applyFill="1" applyAlignment="1">
      <alignment horizontal="center"/>
    </xf>
    <xf numFmtId="171" fontId="0" fillId="0" borderId="0" xfId="0" applyNumberFormat="1" applyFill="1"/>
    <xf numFmtId="168" fontId="4" fillId="0" borderId="0" xfId="0" applyNumberFormat="1" applyFont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</cellXfs>
  <cellStyles count="3">
    <cellStyle name="Normal" xfId="0" builtinId="0"/>
    <cellStyle name="Normal 2 2" xfId="1" xr:uid="{00000000-0005-0000-0000-000001000000}"/>
    <cellStyle name="Normal 3" xfId="2" xr:uid="{00000000-0005-0000-0000-000002000000}"/>
  </cellStyles>
  <dxfs count="5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Calibri"/>
        <family val="2"/>
        <scheme val="minor"/>
      </font>
      <numFmt numFmtId="168" formatCode="_-&quot;£&quot;* #,##0.00_-;[Red]\-&quot;£&quot;* #,##0.00_-;_-&quot;£&quot;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Calibri"/>
        <scheme val="minor"/>
      </font>
      <numFmt numFmtId="168" formatCode="_-&quot;£&quot;* #,##0.00_-;[Red]\-&quot;£&quot;* #,##0.00_-;_-&quot;£&quot;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color auto="1"/>
      </font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font>
        <color auto="1"/>
      </font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_-&quot;£&quot;* #,##0.00_-;[Red]\-&quot;£&quot;* #,##0.00_-;_-&quot;£&quot;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2" tint="-0.499984740745262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numFmt numFmtId="169" formatCode="[$-809]dd\ mmm\ yyyy;@"/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23BF70-A815-492A-8528-F69C2A39E8D6}" name="Group_Acc" displayName="Group_Acc" ref="A1:U67" totalsRowCount="1" headerRowDxfId="58" dataDxfId="57" totalsRowDxfId="56">
  <sortState xmlns:xlrd2="http://schemas.microsoft.com/office/spreadsheetml/2017/richdata2" ref="A2:Q48">
    <sortCondition ref="A45"/>
  </sortState>
  <tableColumns count="21">
    <tableColumn id="1" xr3:uid="{00000000-0010-0000-0000-000001000000}" name="Date" totalsRowLabel="Total" dataDxfId="55" totalsRowDxfId="34"/>
    <tableColumn id="18" xr3:uid="{00000000-0010-0000-0000-000012000000}" name="Sat Workshops" totalsRowFunction="custom" dataDxfId="54" totalsRowDxfId="33">
      <totalsRowFormula>SUM(Group_Acc[Sat Workshops])</totalsRowFormula>
    </tableColumn>
    <tableColumn id="17" xr3:uid="{00000000-0010-0000-0000-000011000000}" name="Club G" totalsRowFunction="custom" dataDxfId="37" totalsRowDxfId="32">
      <calculatedColumnFormula>Club_G!F32</calculatedColumnFormula>
      <totalsRowFormula>SUM(Group_Acc[Club G])</totalsRowFormula>
    </tableColumn>
    <tableColumn id="4" xr3:uid="{9D90B643-2620-46BC-99A2-F5D711344B5B}" name="Club D" totalsRowFunction="custom" dataDxfId="36" totalsRowDxfId="31">
      <calculatedColumnFormula>Club_D!F31</calculatedColumnFormula>
      <totalsRowFormula>SUM(Group_Acc[Club D])</totalsRowFormula>
    </tableColumn>
    <tableColumn id="20" xr3:uid="{00000000-0010-0000-0000-000014000000}" name="Main Feis" totalsRowFunction="custom" dataDxfId="53" totalsRowDxfId="30">
      <totalsRowFormula>SUM(Group_Acc[Main Feis])</totalsRowFormula>
    </tableColumn>
    <tableColumn id="2" xr3:uid="{DD8EF07F-2A81-461A-8470-87B19BA2486E}" name="Seinn, Coisir, Ceol" totalsRowFunction="custom" dataDxfId="52" totalsRowDxfId="29">
      <totalsRowFormula>SUM(Group_Acc[Seinn, Coisir, Ceol])</totalsRowFormula>
    </tableColumn>
    <tableColumn id="13" xr3:uid="{00000000-0010-0000-0000-00000D000000}" name="Instrument" totalsRowFunction="custom" dataDxfId="51" totalsRowDxfId="28">
      <totalsRowFormula>SUM(Group_Acc[Instrument])</totalsRowFormula>
    </tableColumn>
    <tableColumn id="22" xr3:uid="{00000000-0010-0000-0000-000016000000}" name="Grants" totalsRowFunction="custom" dataDxfId="50" totalsRowDxfId="27">
      <totalsRowFormula>SUM(Group_Acc[Grants])</totalsRowFormula>
    </tableColumn>
    <tableColumn id="10" xr3:uid="{00000000-0010-0000-0000-00000A000000}" name="General Inc" totalsRowFunction="custom" dataDxfId="49" totalsRowDxfId="26">
      <totalsRowFormula>SUM(Group_Acc[General Inc])</totalsRowFormula>
    </tableColumn>
    <tableColumn id="29" xr3:uid="{00000000-0010-0000-0000-00001D000000}" name="Misc" totalsRowFunction="custom" dataDxfId="48" totalsRowDxfId="25">
      <totalsRowFormula>SUM(Group_Acc[Misc])</totalsRowFormula>
    </tableColumn>
    <tableColumn id="23" xr3:uid="{00000000-0010-0000-0000-000017000000}" name="Sat Workshops Exp" totalsRowFunction="custom" dataDxfId="47" totalsRowDxfId="24">
      <totalsRowFormula>SUM(Group_Acc[Sat Workshops Exp])</totalsRowFormula>
    </tableColumn>
    <tableColumn id="24" xr3:uid="{00000000-0010-0000-0000-000018000000}" name="Club G Exp" totalsRowFunction="custom" dataDxfId="38" totalsRowDxfId="23">
      <calculatedColumnFormula>Club_G!J32</calculatedColumnFormula>
      <totalsRowFormula>SUM(Group_Acc[Club G Exp])</totalsRowFormula>
    </tableColumn>
    <tableColumn id="5" xr3:uid="{83F4A2F9-033D-4907-8EF3-FD0D11BB5F3D}" name="Club D exp" totalsRowFunction="custom" dataDxfId="35" totalsRowDxfId="22">
      <calculatedColumnFormula>Club_D!J31</calculatedColumnFormula>
      <totalsRowFormula>SUM(Group_Acc[Club D exp])</totalsRowFormula>
    </tableColumn>
    <tableColumn id="27" xr3:uid="{00000000-0010-0000-0000-00001B000000}" name="Main Feis  Exp" totalsRowFunction="custom" dataDxfId="46" totalsRowDxfId="21">
      <totalsRowFormula>SUM(Group_Acc[Main Feis  Exp])</totalsRowFormula>
    </tableColumn>
    <tableColumn id="3" xr3:uid="{D57DCEDE-CFEB-4F38-9668-E6CD93563CA6}" name="Seinn, Coisir, Ceol Exp" totalsRowFunction="custom" dataDxfId="45" totalsRowDxfId="20">
      <totalsRowFormula>SUM(Group_Acc[Seinn, Coisir, Ceol Exp])</totalsRowFormula>
    </tableColumn>
    <tableColumn id="32" xr3:uid="{00000000-0010-0000-0000-000020000000}" name="Instrument Exp" totalsRowFunction="custom" dataDxfId="44" totalsRowDxfId="19">
      <totalsRowFormula>SUM(Group_Acc[Instrument Exp])</totalsRowFormula>
    </tableColumn>
    <tableColumn id="28" xr3:uid="{00000000-0010-0000-0000-00001C000000}" name="Grants  Exp" totalsRowFunction="custom" dataDxfId="43" totalsRowDxfId="18">
      <totalsRowFormula>SUM(Group_Acc[Grants  Exp])</totalsRowFormula>
    </tableColumn>
    <tableColumn id="38" xr3:uid="{00000000-0010-0000-0000-000026000000}" name="General  Exp" totalsRowFunction="custom" dataDxfId="42" totalsRowDxfId="17">
      <totalsRowFormula>SUM(Group_Acc[General  Exp])</totalsRowFormula>
    </tableColumn>
    <tableColumn id="39" xr3:uid="{00000000-0010-0000-0000-000027000000}" name="Misc  Exp" totalsRowFunction="custom" dataDxfId="41" totalsRowDxfId="16">
      <totalsRowFormula>SUM(Group_Acc[Misc  Exp])</totalsRowFormula>
    </tableColumn>
    <tableColumn id="7" xr3:uid="{00000000-0010-0000-0000-000007000000}" name="Total" totalsRowFunction="custom" dataDxfId="40" totalsRowDxfId="15">
      <calculatedColumnFormula>SUM(#REF!)</calculatedColumnFormula>
      <totalsRowFormula>SUM(B67:J67)-SUM(K67:S67)</totalsRowFormula>
    </tableColumn>
    <tableColumn id="8" xr3:uid="{00000000-0010-0000-0000-000008000000}" name="Comment" dataDxfId="39" totalsRowDxfId="14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Z58"/>
  <sheetViews>
    <sheetView tabSelected="1" topLeftCell="A13" workbookViewId="0">
      <selection activeCell="B24" sqref="B24"/>
    </sheetView>
  </sheetViews>
  <sheetFormatPr defaultColWidth="8.6640625" defaultRowHeight="14.4" x14ac:dyDescent="0.3"/>
  <cols>
    <col min="1" max="1" width="34.6640625" customWidth="1"/>
    <col min="2" max="2" width="17.6640625" customWidth="1"/>
    <col min="3" max="4" width="4.88671875" customWidth="1"/>
    <col min="5" max="5" width="6.5546875" customWidth="1"/>
    <col min="6" max="7" width="4.88671875" hidden="1" customWidth="1"/>
    <col min="8" max="8" width="24.88671875" customWidth="1"/>
    <col min="9" max="9" width="16.77734375" customWidth="1"/>
    <col min="10" max="10" width="13.33203125" customWidth="1"/>
    <col min="11" max="11" width="28.33203125" customWidth="1"/>
    <col min="12" max="12" width="14.5546875" customWidth="1"/>
    <col min="13" max="13" width="15.33203125" customWidth="1"/>
    <col min="14" max="14" width="14.5546875" customWidth="1"/>
    <col min="15" max="15" width="14.6640625" customWidth="1"/>
    <col min="16" max="16" width="8.6640625" customWidth="1"/>
    <col min="17" max="17" width="27.33203125" customWidth="1"/>
    <col min="18" max="18" width="15.88671875" customWidth="1"/>
    <col min="19" max="19" width="8.44140625" customWidth="1"/>
    <col min="20" max="20" width="23.6640625" customWidth="1"/>
    <col min="21" max="23" width="14.6640625" customWidth="1"/>
    <col min="24" max="24" width="16" customWidth="1"/>
    <col min="25" max="25" width="69.6640625" style="30" customWidth="1"/>
  </cols>
  <sheetData>
    <row r="1" spans="1:25" x14ac:dyDescent="0.3">
      <c r="A1" s="16" t="s">
        <v>315</v>
      </c>
    </row>
    <row r="3" spans="1:25" x14ac:dyDescent="0.3">
      <c r="A3" s="16" t="s">
        <v>4</v>
      </c>
      <c r="B3" s="31" t="s">
        <v>316</v>
      </c>
      <c r="C3" s="31"/>
      <c r="D3" s="31"/>
      <c r="E3" s="31"/>
      <c r="F3" s="31"/>
      <c r="G3" s="31"/>
      <c r="H3" s="16" t="s">
        <v>4</v>
      </c>
      <c r="I3" s="146" t="s">
        <v>257</v>
      </c>
      <c r="J3" s="31" t="s">
        <v>219</v>
      </c>
      <c r="K3" s="31" t="s">
        <v>4</v>
      </c>
      <c r="L3" s="31" t="s">
        <v>206</v>
      </c>
      <c r="M3" s="31" t="s">
        <v>182</v>
      </c>
      <c r="N3" s="31" t="s">
        <v>178</v>
      </c>
      <c r="O3" s="31" t="s">
        <v>156</v>
      </c>
      <c r="P3" s="31"/>
      <c r="Q3" s="16" t="s">
        <v>4</v>
      </c>
      <c r="R3" s="31" t="s">
        <v>128</v>
      </c>
      <c r="S3" s="31"/>
      <c r="U3" s="31" t="s">
        <v>49</v>
      </c>
      <c r="V3" s="31" t="s">
        <v>13</v>
      </c>
      <c r="W3" s="31" t="s">
        <v>6</v>
      </c>
      <c r="X3" s="31" t="s">
        <v>7</v>
      </c>
      <c r="Y3" s="30" t="s">
        <v>40</v>
      </c>
    </row>
    <row r="4" spans="1:25" x14ac:dyDescent="0.3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R4" s="31"/>
      <c r="S4" s="31"/>
      <c r="T4" s="31"/>
      <c r="U4" s="31"/>
      <c r="V4" s="31"/>
      <c r="W4" s="31"/>
      <c r="X4" s="31"/>
    </row>
    <row r="5" spans="1:25" x14ac:dyDescent="0.3">
      <c r="A5" s="16" t="s">
        <v>37</v>
      </c>
      <c r="B5" s="1"/>
      <c r="C5" s="1"/>
      <c r="D5" s="1"/>
      <c r="E5" s="1"/>
      <c r="F5" s="1"/>
      <c r="G5" s="1"/>
      <c r="H5" s="109" t="s">
        <v>37</v>
      </c>
      <c r="I5" s="109"/>
      <c r="J5" s="1"/>
      <c r="K5" s="109" t="s">
        <v>37</v>
      </c>
      <c r="L5" s="109"/>
      <c r="M5" s="109"/>
      <c r="N5" s="1"/>
      <c r="O5" s="1"/>
      <c r="P5" s="1"/>
      <c r="Q5" s="16" t="s">
        <v>37</v>
      </c>
      <c r="R5" s="1"/>
      <c r="S5" s="1"/>
      <c r="T5" s="16" t="s">
        <v>37</v>
      </c>
      <c r="U5" s="1"/>
      <c r="V5" s="1"/>
      <c r="W5" s="1"/>
      <c r="Y5" s="68" t="s">
        <v>133</v>
      </c>
    </row>
    <row r="6" spans="1:25" x14ac:dyDescent="0.3">
      <c r="C6" s="1"/>
      <c r="D6" s="1"/>
      <c r="E6" s="1"/>
      <c r="F6" s="1"/>
      <c r="G6" s="1"/>
      <c r="H6" s="1" t="s">
        <v>130</v>
      </c>
      <c r="I6" s="1">
        <v>2236</v>
      </c>
      <c r="J6" s="1">
        <v>2476</v>
      </c>
      <c r="K6" s="1" t="s">
        <v>130</v>
      </c>
      <c r="L6" s="1">
        <v>719</v>
      </c>
      <c r="M6" s="1">
        <v>0</v>
      </c>
      <c r="N6" s="1">
        <v>2001</v>
      </c>
      <c r="O6" s="1">
        <v>1729.7</v>
      </c>
      <c r="P6" s="1"/>
      <c r="Q6" t="s">
        <v>130</v>
      </c>
      <c r="R6" s="1">
        <v>3501.66</v>
      </c>
      <c r="S6" s="1"/>
      <c r="T6" t="s">
        <v>14</v>
      </c>
      <c r="U6" s="1">
        <v>639</v>
      </c>
      <c r="V6" s="1">
        <v>1950.48</v>
      </c>
      <c r="W6" s="1">
        <v>486</v>
      </c>
      <c r="X6" s="1">
        <v>288</v>
      </c>
    </row>
    <row r="7" spans="1:25" x14ac:dyDescent="0.3">
      <c r="A7" t="s">
        <v>130</v>
      </c>
      <c r="B7" s="1">
        <f>Accounts!B67</f>
        <v>2975</v>
      </c>
      <c r="C7" s="1"/>
      <c r="D7" s="1"/>
      <c r="E7" s="1"/>
      <c r="F7" s="1"/>
      <c r="G7" s="1"/>
      <c r="H7" s="1" t="s">
        <v>127</v>
      </c>
      <c r="I7" s="1">
        <v>0</v>
      </c>
      <c r="J7" s="1">
        <v>0</v>
      </c>
      <c r="K7" s="1" t="s">
        <v>127</v>
      </c>
      <c r="L7" s="1">
        <v>90</v>
      </c>
      <c r="M7" s="1">
        <v>0</v>
      </c>
      <c r="N7" s="1">
        <v>25</v>
      </c>
      <c r="O7" s="1">
        <v>145</v>
      </c>
      <c r="P7" s="1"/>
      <c r="Q7" t="s">
        <v>127</v>
      </c>
      <c r="R7" s="1">
        <v>270</v>
      </c>
      <c r="S7" s="1"/>
      <c r="T7" t="s">
        <v>15</v>
      </c>
      <c r="U7" s="1">
        <v>1158</v>
      </c>
      <c r="V7" s="1">
        <v>1266.5</v>
      </c>
      <c r="W7" s="1">
        <v>640</v>
      </c>
      <c r="X7" s="1">
        <v>1549.2</v>
      </c>
    </row>
    <row r="8" spans="1:25" x14ac:dyDescent="0.3">
      <c r="A8" t="s">
        <v>764</v>
      </c>
      <c r="B8" s="1">
        <f>Accounts!C67</f>
        <v>0</v>
      </c>
      <c r="C8" s="1"/>
      <c r="D8" s="1"/>
      <c r="E8" s="1"/>
      <c r="F8" s="1"/>
      <c r="G8" s="1"/>
      <c r="H8" s="1" t="s">
        <v>50</v>
      </c>
      <c r="I8" s="1">
        <v>0</v>
      </c>
      <c r="J8" s="1">
        <v>0</v>
      </c>
      <c r="K8" s="1" t="s">
        <v>50</v>
      </c>
      <c r="L8" s="1">
        <v>0</v>
      </c>
      <c r="M8" s="1">
        <v>0</v>
      </c>
      <c r="N8" s="1">
        <v>0</v>
      </c>
      <c r="O8" s="1">
        <v>0</v>
      </c>
      <c r="P8" s="1"/>
      <c r="Q8" t="s">
        <v>50</v>
      </c>
      <c r="R8" s="1">
        <v>547.85</v>
      </c>
      <c r="S8" s="1"/>
      <c r="T8" t="s">
        <v>16</v>
      </c>
      <c r="U8" s="1">
        <v>3362.5</v>
      </c>
      <c r="V8" s="1">
        <v>3510</v>
      </c>
      <c r="W8" s="1">
        <v>490</v>
      </c>
      <c r="X8" s="1">
        <v>952</v>
      </c>
    </row>
    <row r="9" spans="1:25" x14ac:dyDescent="0.3">
      <c r="A9" t="s">
        <v>502</v>
      </c>
      <c r="B9" s="1">
        <f>Group_Acc[[#Totals],[Club D]]</f>
        <v>170</v>
      </c>
      <c r="C9" s="1"/>
      <c r="D9" s="1"/>
      <c r="E9" s="1"/>
      <c r="F9" s="1"/>
      <c r="G9" s="1"/>
      <c r="H9" s="1" t="s">
        <v>17</v>
      </c>
      <c r="I9" s="1">
        <v>8409.94</v>
      </c>
      <c r="J9" s="1">
        <v>6882.95</v>
      </c>
      <c r="K9" s="1" t="s">
        <v>17</v>
      </c>
      <c r="L9" s="1">
        <v>5470.51</v>
      </c>
      <c r="M9" s="1">
        <v>0</v>
      </c>
      <c r="N9" s="1">
        <v>0</v>
      </c>
      <c r="O9" s="1">
        <v>6805.95</v>
      </c>
      <c r="P9" s="1"/>
      <c r="Q9" t="s">
        <v>17</v>
      </c>
      <c r="R9" s="1">
        <v>8365.41</v>
      </c>
      <c r="S9" s="1"/>
      <c r="T9" t="s">
        <v>17</v>
      </c>
      <c r="U9" s="1">
        <v>6302.21</v>
      </c>
      <c r="V9" s="1">
        <v>7471.63</v>
      </c>
      <c r="W9" s="1">
        <v>3810</v>
      </c>
      <c r="X9" s="1">
        <f>2713+840</f>
        <v>3553</v>
      </c>
    </row>
    <row r="10" spans="1:25" x14ac:dyDescent="0.3">
      <c r="A10" t="s">
        <v>17</v>
      </c>
      <c r="B10" s="1">
        <f>Accounts!E67</f>
        <v>9079.56</v>
      </c>
      <c r="C10" s="1"/>
      <c r="D10" s="1"/>
      <c r="E10" s="1"/>
      <c r="F10" s="1"/>
      <c r="G10" s="1"/>
      <c r="H10" s="1" t="s">
        <v>51</v>
      </c>
      <c r="I10" s="1">
        <v>0</v>
      </c>
      <c r="J10" s="1">
        <v>0</v>
      </c>
      <c r="K10" s="1" t="s">
        <v>51</v>
      </c>
      <c r="L10" s="1">
        <v>0</v>
      </c>
      <c r="M10" s="1">
        <v>0</v>
      </c>
      <c r="N10" s="1">
        <v>0</v>
      </c>
      <c r="O10" s="1">
        <v>0</v>
      </c>
      <c r="P10" s="1"/>
      <c r="Q10" t="s">
        <v>51</v>
      </c>
      <c r="R10" s="1">
        <v>550</v>
      </c>
      <c r="S10" s="1"/>
      <c r="T10" t="s">
        <v>51</v>
      </c>
      <c r="U10" s="1">
        <v>1980</v>
      </c>
      <c r="V10" s="1"/>
      <c r="W10" s="1"/>
      <c r="X10" s="1"/>
    </row>
    <row r="11" spans="1:25" x14ac:dyDescent="0.3">
      <c r="A11" t="s">
        <v>564</v>
      </c>
      <c r="B11" s="1">
        <f>Accounts!F67</f>
        <v>6909.5</v>
      </c>
      <c r="C11" s="1"/>
      <c r="D11" s="1"/>
      <c r="E11" s="1"/>
      <c r="F11" s="1"/>
      <c r="G11" s="1"/>
      <c r="H11" s="1" t="s">
        <v>14</v>
      </c>
      <c r="I11" s="1">
        <v>1215</v>
      </c>
      <c r="J11" s="1">
        <v>1079.5</v>
      </c>
      <c r="K11" s="1" t="s">
        <v>14</v>
      </c>
      <c r="L11" s="1">
        <v>1206</v>
      </c>
      <c r="M11" s="1">
        <v>0</v>
      </c>
      <c r="N11" s="1">
        <v>1056</v>
      </c>
      <c r="O11" s="1">
        <v>1118.5</v>
      </c>
      <c r="P11" s="1"/>
      <c r="Q11" t="s">
        <v>14</v>
      </c>
      <c r="R11" s="1">
        <v>1176</v>
      </c>
      <c r="S11" s="1"/>
      <c r="T11" t="s">
        <v>48</v>
      </c>
      <c r="U11" s="1">
        <v>85.1</v>
      </c>
      <c r="V11" s="1">
        <v>238.32</v>
      </c>
      <c r="W11" s="1">
        <v>610.44000000000005</v>
      </c>
      <c r="X11" s="1">
        <f>400.28+132</f>
        <v>532.28</v>
      </c>
    </row>
    <row r="12" spans="1:25" ht="16.95" customHeight="1" x14ac:dyDescent="0.3">
      <c r="A12" t="s">
        <v>131</v>
      </c>
      <c r="B12" s="1">
        <f>Accounts!G67</f>
        <v>137</v>
      </c>
      <c r="C12" s="1"/>
      <c r="D12" s="1"/>
      <c r="E12" s="1"/>
      <c r="F12" s="1"/>
      <c r="G12" s="1"/>
      <c r="H12" s="1" t="s">
        <v>152</v>
      </c>
      <c r="I12" s="1">
        <v>5307</v>
      </c>
      <c r="J12" s="1">
        <v>3593</v>
      </c>
      <c r="K12" s="1" t="s">
        <v>152</v>
      </c>
      <c r="L12" s="1">
        <v>2665.5</v>
      </c>
      <c r="M12" s="1">
        <v>466.5</v>
      </c>
      <c r="N12" s="1">
        <v>1913</v>
      </c>
      <c r="O12" s="1">
        <v>2158</v>
      </c>
      <c r="P12" s="1"/>
      <c r="Q12" t="s">
        <v>131</v>
      </c>
      <c r="R12" s="1">
        <v>848</v>
      </c>
      <c r="S12" s="1"/>
      <c r="T12" t="s">
        <v>127</v>
      </c>
      <c r="U12" s="1">
        <v>490</v>
      </c>
      <c r="V12" s="1">
        <v>555</v>
      </c>
      <c r="W12" s="1">
        <v>736</v>
      </c>
      <c r="X12" s="1">
        <v>0</v>
      </c>
      <c r="Y12" s="67" t="s">
        <v>134</v>
      </c>
    </row>
    <row r="13" spans="1:25" x14ac:dyDescent="0.3">
      <c r="A13" t="s">
        <v>5</v>
      </c>
      <c r="B13" s="1">
        <f>Accounts!H67</f>
        <v>17773.760000000002</v>
      </c>
      <c r="C13" s="1"/>
      <c r="D13" s="1"/>
      <c r="E13" s="1"/>
      <c r="F13" s="1"/>
      <c r="G13" s="1"/>
      <c r="H13" s="1" t="s">
        <v>131</v>
      </c>
      <c r="I13" s="1">
        <v>180</v>
      </c>
      <c r="J13" s="1">
        <v>330</v>
      </c>
      <c r="K13" s="1" t="s">
        <v>131</v>
      </c>
      <c r="L13" s="1">
        <v>400</v>
      </c>
      <c r="M13" s="1">
        <v>622.5</v>
      </c>
      <c r="N13" s="1">
        <v>930</v>
      </c>
      <c r="O13" s="1">
        <v>245</v>
      </c>
      <c r="P13" s="1"/>
      <c r="Q13" t="s">
        <v>5</v>
      </c>
      <c r="R13" s="1">
        <v>8829</v>
      </c>
      <c r="S13" s="1"/>
      <c r="T13" t="s">
        <v>50</v>
      </c>
      <c r="U13" s="1">
        <v>1664.6499999999999</v>
      </c>
      <c r="V13" s="1"/>
      <c r="W13" s="1"/>
      <c r="X13" s="1"/>
    </row>
    <row r="14" spans="1:25" x14ac:dyDescent="0.3">
      <c r="A14" t="s">
        <v>713</v>
      </c>
      <c r="B14" s="1">
        <f>Accounts!I67</f>
        <v>0</v>
      </c>
      <c r="C14" s="1"/>
      <c r="D14" s="1"/>
      <c r="E14" s="1"/>
      <c r="F14" s="1"/>
      <c r="G14" s="1"/>
      <c r="H14" s="1" t="s">
        <v>5</v>
      </c>
      <c r="I14" s="1">
        <v>1961</v>
      </c>
      <c r="J14" s="1">
        <v>5738</v>
      </c>
      <c r="K14" s="1" t="s">
        <v>5</v>
      </c>
      <c r="L14" s="1">
        <v>3785</v>
      </c>
      <c r="M14" s="1">
        <v>12207.1</v>
      </c>
      <c r="N14" s="1">
        <v>11000.79</v>
      </c>
      <c r="O14" s="1">
        <v>11057.52</v>
      </c>
      <c r="P14" s="1"/>
      <c r="Q14" t="s">
        <v>48</v>
      </c>
      <c r="R14" s="1">
        <v>0</v>
      </c>
      <c r="S14" s="1"/>
      <c r="T14" t="s">
        <v>5</v>
      </c>
      <c r="U14" s="1">
        <v>11906.66</v>
      </c>
      <c r="V14" s="1">
        <v>6992</v>
      </c>
      <c r="W14" s="1">
        <v>4855</v>
      </c>
      <c r="X14" s="1">
        <v>5764</v>
      </c>
    </row>
    <row r="15" spans="1:25" x14ac:dyDescent="0.3">
      <c r="A15" t="s">
        <v>132</v>
      </c>
      <c r="B15" s="1">
        <f>Accounts!J67</f>
        <v>0</v>
      </c>
      <c r="C15" s="1"/>
      <c r="D15" s="1"/>
      <c r="E15" s="1"/>
      <c r="F15" s="1"/>
      <c r="G15" s="1"/>
      <c r="H15" s="1" t="s">
        <v>18</v>
      </c>
      <c r="I15" s="1">
        <v>0</v>
      </c>
      <c r="J15" s="1">
        <v>0</v>
      </c>
      <c r="K15" s="1" t="s">
        <v>18</v>
      </c>
      <c r="L15" s="1">
        <v>0</v>
      </c>
      <c r="M15" s="1">
        <v>0</v>
      </c>
      <c r="N15" s="1">
        <v>0</v>
      </c>
      <c r="O15" s="1">
        <v>0</v>
      </c>
      <c r="P15" s="1"/>
      <c r="Q15" t="s">
        <v>18</v>
      </c>
      <c r="R15" s="1">
        <v>0</v>
      </c>
      <c r="S15" s="1"/>
      <c r="T15" t="s">
        <v>122</v>
      </c>
      <c r="U15" s="1">
        <v>0</v>
      </c>
      <c r="V15" s="1"/>
      <c r="W15" s="1">
        <v>0</v>
      </c>
      <c r="X15" s="1">
        <v>0</v>
      </c>
    </row>
    <row r="16" spans="1:25" x14ac:dyDescent="0.3">
      <c r="C16" s="1"/>
      <c r="D16" s="1"/>
      <c r="E16" s="1"/>
      <c r="F16" s="1"/>
      <c r="G16" s="1"/>
      <c r="H16" s="1" t="s">
        <v>132</v>
      </c>
      <c r="I16" s="1">
        <v>0</v>
      </c>
      <c r="J16" s="1">
        <v>641.69000000000005</v>
      </c>
      <c r="K16" s="1" t="s">
        <v>132</v>
      </c>
      <c r="L16" s="1">
        <v>0</v>
      </c>
      <c r="M16" s="1">
        <v>0</v>
      </c>
      <c r="N16" s="1">
        <v>240</v>
      </c>
      <c r="O16" s="1">
        <v>500</v>
      </c>
      <c r="P16" s="1"/>
      <c r="Q16" t="s">
        <v>132</v>
      </c>
      <c r="R16" s="1">
        <v>539.6</v>
      </c>
      <c r="S16" s="1"/>
      <c r="T16" t="s">
        <v>123</v>
      </c>
      <c r="U16" s="1">
        <v>383</v>
      </c>
      <c r="V16" s="1">
        <v>529.75</v>
      </c>
      <c r="W16" s="1">
        <v>0</v>
      </c>
      <c r="X16" s="1">
        <v>0</v>
      </c>
    </row>
    <row r="17" spans="1:25" x14ac:dyDescent="0.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t="s">
        <v>139</v>
      </c>
      <c r="R17" s="1">
        <v>12918.93</v>
      </c>
      <c r="S17" s="1"/>
      <c r="U17" s="1"/>
      <c r="V17" s="1"/>
      <c r="W17" s="1"/>
      <c r="X17" s="1"/>
    </row>
    <row r="18" spans="1:25" x14ac:dyDescent="0.3">
      <c r="A18" s="16" t="s">
        <v>41</v>
      </c>
      <c r="B18" s="33">
        <f>SUM(B7:B17)</f>
        <v>37044.82</v>
      </c>
      <c r="C18" s="33"/>
      <c r="D18" s="109"/>
      <c r="E18" s="109"/>
      <c r="F18" s="109"/>
      <c r="G18" s="109"/>
      <c r="H18" s="109" t="s">
        <v>41</v>
      </c>
      <c r="I18" s="109">
        <v>19308.940000000002</v>
      </c>
      <c r="J18" s="109">
        <v>20741.14</v>
      </c>
      <c r="K18" s="109" t="s">
        <v>41</v>
      </c>
      <c r="L18" s="109">
        <v>14336.01</v>
      </c>
      <c r="M18" s="109">
        <v>13296.1</v>
      </c>
      <c r="N18" s="109">
        <v>17165.79</v>
      </c>
      <c r="O18" s="109">
        <v>23759.67</v>
      </c>
      <c r="P18" s="109"/>
      <c r="Q18" s="16" t="s">
        <v>41</v>
      </c>
      <c r="R18" s="33">
        <v>37546.449999999997</v>
      </c>
      <c r="S18" s="109"/>
      <c r="T18" s="16" t="s">
        <v>41</v>
      </c>
      <c r="U18" s="33">
        <v>27971.119999999999</v>
      </c>
      <c r="V18" s="33">
        <v>22513.68</v>
      </c>
      <c r="W18" s="33">
        <f>SUM(W6:W16)</f>
        <v>11627.44</v>
      </c>
      <c r="X18" s="33">
        <f>SUM(X6:X16)</f>
        <v>12638.48</v>
      </c>
      <c r="Y18" s="31"/>
    </row>
    <row r="19" spans="1:25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R19" s="1"/>
      <c r="S19" s="1"/>
      <c r="T19" s="1"/>
      <c r="U19" s="1"/>
      <c r="V19" s="1"/>
      <c r="W19" s="1"/>
      <c r="X19" s="1"/>
    </row>
    <row r="20" spans="1:25" x14ac:dyDescent="0.3">
      <c r="A20" s="16" t="s">
        <v>39</v>
      </c>
      <c r="B20" s="1"/>
      <c r="C20" s="1"/>
      <c r="D20" s="1"/>
      <c r="E20" s="1"/>
      <c r="F20" s="1"/>
      <c r="G20" s="1"/>
      <c r="H20" s="109" t="s">
        <v>39</v>
      </c>
      <c r="I20" s="1"/>
      <c r="J20" s="1"/>
      <c r="K20" s="109" t="s">
        <v>39</v>
      </c>
      <c r="L20" s="1"/>
      <c r="M20" s="1"/>
      <c r="N20" s="1"/>
      <c r="O20" s="1"/>
      <c r="P20" s="1"/>
      <c r="Q20" s="16" t="s">
        <v>39</v>
      </c>
      <c r="R20" s="1"/>
      <c r="S20" s="1"/>
      <c r="T20" s="16" t="s">
        <v>39</v>
      </c>
      <c r="U20" s="1"/>
      <c r="V20" s="1"/>
      <c r="W20" s="1"/>
      <c r="X20" s="1"/>
      <c r="Y20" s="31"/>
    </row>
    <row r="21" spans="1:25" x14ac:dyDescent="0.3">
      <c r="C21" s="35"/>
      <c r="D21" s="35"/>
      <c r="E21" s="35"/>
      <c r="F21" s="35"/>
      <c r="G21" s="35"/>
      <c r="H21" s="175" t="s">
        <v>130</v>
      </c>
      <c r="I21" s="35">
        <v>4150.66</v>
      </c>
      <c r="J21" s="35">
        <v>3478.69</v>
      </c>
      <c r="K21" s="112" t="s">
        <v>130</v>
      </c>
      <c r="L21" s="112">
        <v>1499.25</v>
      </c>
      <c r="M21" s="112">
        <v>0</v>
      </c>
      <c r="N21" s="35">
        <v>2229.81</v>
      </c>
      <c r="O21" s="35">
        <v>1924.79</v>
      </c>
      <c r="P21" s="35"/>
      <c r="Q21" t="s">
        <v>130</v>
      </c>
      <c r="R21" s="35">
        <v>4860.92</v>
      </c>
      <c r="S21" s="35"/>
      <c r="T21" t="s">
        <v>14</v>
      </c>
      <c r="U21" s="35">
        <v>-545</v>
      </c>
      <c r="V21" s="35">
        <v>-2510</v>
      </c>
      <c r="W21" s="35">
        <v>-441</v>
      </c>
      <c r="X21" s="35">
        <v>-432</v>
      </c>
    </row>
    <row r="22" spans="1:25" x14ac:dyDescent="0.3">
      <c r="A22" t="s">
        <v>130</v>
      </c>
      <c r="B22" s="35">
        <f>Accounts!K67</f>
        <v>3984.9100000000003</v>
      </c>
      <c r="C22" s="35"/>
      <c r="D22" s="35"/>
      <c r="E22" s="35"/>
      <c r="F22" s="35"/>
      <c r="G22" s="35"/>
      <c r="H22" s="175" t="s">
        <v>127</v>
      </c>
      <c r="I22" s="35">
        <v>0</v>
      </c>
      <c r="J22" s="35">
        <v>0</v>
      </c>
      <c r="K22" s="112" t="s">
        <v>127</v>
      </c>
      <c r="L22" s="112">
        <v>144</v>
      </c>
      <c r="M22" s="112">
        <v>0</v>
      </c>
      <c r="N22" s="35">
        <v>90</v>
      </c>
      <c r="O22" s="35">
        <v>645</v>
      </c>
      <c r="P22" s="35"/>
      <c r="Q22" t="s">
        <v>127</v>
      </c>
      <c r="R22" s="35">
        <v>3974.6</v>
      </c>
      <c r="S22" s="35"/>
      <c r="T22" t="s">
        <v>15</v>
      </c>
      <c r="U22" s="35">
        <v>-208.83000000000004</v>
      </c>
      <c r="V22" s="35">
        <v>-823.01</v>
      </c>
      <c r="W22" s="35">
        <v>-78</v>
      </c>
      <c r="X22" s="35">
        <v>-1558.2</v>
      </c>
    </row>
    <row r="23" spans="1:25" x14ac:dyDescent="0.3">
      <c r="A23" t="s">
        <v>764</v>
      </c>
      <c r="B23" s="35">
        <f>Accounts!L67</f>
        <v>2253.19</v>
      </c>
      <c r="C23" s="35"/>
      <c r="D23" s="35"/>
      <c r="E23" s="35"/>
      <c r="F23" s="35"/>
      <c r="G23" s="35"/>
      <c r="H23" s="175" t="s">
        <v>50</v>
      </c>
      <c r="I23" s="35">
        <v>0</v>
      </c>
      <c r="J23" s="35">
        <v>0</v>
      </c>
      <c r="K23" s="112" t="s">
        <v>50</v>
      </c>
      <c r="L23" s="112">
        <v>0</v>
      </c>
      <c r="M23" s="112">
        <v>0</v>
      </c>
      <c r="N23" s="35">
        <v>0</v>
      </c>
      <c r="O23" s="35">
        <v>0</v>
      </c>
      <c r="P23" s="35"/>
      <c r="Q23" t="s">
        <v>50</v>
      </c>
      <c r="R23" s="35">
        <v>1038.56</v>
      </c>
      <c r="S23" s="35"/>
      <c r="T23" t="s">
        <v>16</v>
      </c>
      <c r="U23" s="35">
        <v>-4813.71</v>
      </c>
      <c r="V23" s="35">
        <v>-3890.27</v>
      </c>
      <c r="W23" s="35">
        <v>-445.15999999999997</v>
      </c>
      <c r="X23" s="35">
        <v>-2046.92</v>
      </c>
    </row>
    <row r="24" spans="1:25" x14ac:dyDescent="0.3">
      <c r="A24" t="s">
        <v>760</v>
      </c>
      <c r="B24" s="35">
        <f>Group_Acc[[#Totals],[Club D exp]]</f>
        <v>696.03</v>
      </c>
      <c r="C24" s="35"/>
      <c r="D24" s="35"/>
      <c r="E24" s="35"/>
      <c r="F24" s="35"/>
      <c r="G24" s="35"/>
      <c r="H24" s="175" t="s">
        <v>17</v>
      </c>
      <c r="I24" s="35">
        <v>9865.26</v>
      </c>
      <c r="J24" s="35">
        <v>12458.97</v>
      </c>
      <c r="K24" s="112" t="s">
        <v>17</v>
      </c>
      <c r="L24" s="112">
        <v>12140.96</v>
      </c>
      <c r="M24" s="112">
        <v>3027.8599999999997</v>
      </c>
      <c r="N24" s="35">
        <v>0</v>
      </c>
      <c r="O24" s="35">
        <v>11248.27</v>
      </c>
      <c r="P24" s="35"/>
      <c r="Q24" t="s">
        <v>17</v>
      </c>
      <c r="R24" s="35">
        <v>13333.52</v>
      </c>
      <c r="S24" s="35"/>
      <c r="T24" t="s">
        <v>17</v>
      </c>
      <c r="U24" s="35">
        <v>-11023.700000000003</v>
      </c>
      <c r="V24" s="35">
        <v>-9335.57</v>
      </c>
      <c r="W24" s="35">
        <v>-4682.84</v>
      </c>
      <c r="X24" s="35">
        <v>-3500</v>
      </c>
    </row>
    <row r="25" spans="1:25" x14ac:dyDescent="0.3">
      <c r="A25" t="s">
        <v>17</v>
      </c>
      <c r="B25" s="35">
        <f>Accounts!N67</f>
        <v>8626.0199999999986</v>
      </c>
      <c r="C25" s="35"/>
      <c r="D25" s="35"/>
      <c r="E25" s="35"/>
      <c r="F25" s="35"/>
      <c r="G25" s="35"/>
      <c r="H25" s="175" t="s">
        <v>51</v>
      </c>
      <c r="I25" s="35">
        <v>0</v>
      </c>
      <c r="J25" s="35">
        <v>0</v>
      </c>
      <c r="K25" s="112" t="s">
        <v>51</v>
      </c>
      <c r="L25" s="112">
        <v>0</v>
      </c>
      <c r="M25" s="112">
        <v>0</v>
      </c>
      <c r="N25" s="35">
        <v>0</v>
      </c>
      <c r="O25" s="35">
        <v>0</v>
      </c>
      <c r="P25" s="35"/>
      <c r="Q25" t="s">
        <v>51</v>
      </c>
      <c r="R25" s="35">
        <v>3000</v>
      </c>
      <c r="S25" s="35"/>
      <c r="T25" t="s">
        <v>51</v>
      </c>
      <c r="U25" s="35">
        <v>-2666.5</v>
      </c>
      <c r="V25" s="35"/>
      <c r="W25" s="35"/>
      <c r="X25" s="35"/>
    </row>
    <row r="26" spans="1:25" x14ac:dyDescent="0.3">
      <c r="A26" t="s">
        <v>564</v>
      </c>
      <c r="B26" s="35">
        <f>Accounts!O67</f>
        <v>5508.83</v>
      </c>
      <c r="C26" s="35"/>
      <c r="D26" s="35"/>
      <c r="E26" s="35"/>
      <c r="F26" s="35"/>
      <c r="G26" s="35"/>
      <c r="H26" s="175" t="s">
        <v>14</v>
      </c>
      <c r="I26" s="35">
        <v>1386</v>
      </c>
      <c r="J26" s="35">
        <v>1211</v>
      </c>
      <c r="K26" s="112" t="s">
        <v>14</v>
      </c>
      <c r="L26" s="112">
        <v>1069</v>
      </c>
      <c r="M26" s="112">
        <v>0</v>
      </c>
      <c r="N26" s="35">
        <v>600</v>
      </c>
      <c r="O26" s="35">
        <v>835</v>
      </c>
      <c r="P26" s="35"/>
      <c r="Q26" t="s">
        <v>14</v>
      </c>
      <c r="R26" s="35">
        <v>800</v>
      </c>
      <c r="S26" s="35"/>
      <c r="T26" t="s">
        <v>50</v>
      </c>
      <c r="U26" s="35">
        <v>-847.28000000000009</v>
      </c>
      <c r="V26" s="35"/>
      <c r="W26" s="35"/>
      <c r="X26" s="35"/>
    </row>
    <row r="27" spans="1:25" ht="15.45" customHeight="1" x14ac:dyDescent="0.3">
      <c r="A27" t="s">
        <v>131</v>
      </c>
      <c r="B27" s="35">
        <f>Accounts!P67</f>
        <v>0</v>
      </c>
      <c r="C27" s="35"/>
      <c r="D27" s="35"/>
      <c r="E27" s="35"/>
      <c r="F27" s="35"/>
      <c r="G27" s="35"/>
      <c r="H27" s="175" t="s">
        <v>152</v>
      </c>
      <c r="I27" s="35">
        <v>5008.3999999999996</v>
      </c>
      <c r="J27" s="35">
        <v>3485.12</v>
      </c>
      <c r="K27" s="112" t="s">
        <v>152</v>
      </c>
      <c r="L27" s="112">
        <v>1335</v>
      </c>
      <c r="M27" s="112">
        <v>835</v>
      </c>
      <c r="N27" s="35">
        <v>956.36</v>
      </c>
      <c r="O27" s="35">
        <v>1445</v>
      </c>
      <c r="P27" s="35"/>
      <c r="Q27" t="s">
        <v>131</v>
      </c>
      <c r="R27" s="35">
        <v>1073.52</v>
      </c>
      <c r="S27" s="35"/>
      <c r="T27" t="s">
        <v>127</v>
      </c>
      <c r="U27" s="35">
        <v>-1344</v>
      </c>
      <c r="V27" s="35">
        <v>-1503.67</v>
      </c>
      <c r="W27" s="35">
        <v>-659.9</v>
      </c>
      <c r="X27" s="35">
        <v>0</v>
      </c>
      <c r="Y27" s="84" t="s">
        <v>134</v>
      </c>
    </row>
    <row r="28" spans="1:25" x14ac:dyDescent="0.3">
      <c r="A28" t="s">
        <v>5</v>
      </c>
      <c r="B28" s="35">
        <f>Accounts!Q67</f>
        <v>0</v>
      </c>
      <c r="C28" s="35"/>
      <c r="D28" s="35"/>
      <c r="E28" s="35"/>
      <c r="F28" s="35"/>
      <c r="G28" s="35"/>
      <c r="H28" s="175" t="s">
        <v>131</v>
      </c>
      <c r="I28" s="35">
        <v>0</v>
      </c>
      <c r="J28" s="35">
        <v>2223.84</v>
      </c>
      <c r="K28" s="112" t="s">
        <v>131</v>
      </c>
      <c r="L28" s="112">
        <v>345.6</v>
      </c>
      <c r="M28" s="112">
        <v>269.89999999999998</v>
      </c>
      <c r="N28" s="35">
        <v>67.8</v>
      </c>
      <c r="O28" s="35">
        <v>0</v>
      </c>
      <c r="P28" s="35"/>
      <c r="Q28" t="s">
        <v>5</v>
      </c>
      <c r="R28" s="35">
        <v>0</v>
      </c>
      <c r="S28" s="35"/>
      <c r="T28" t="s">
        <v>48</v>
      </c>
      <c r="U28" s="35">
        <v>0</v>
      </c>
      <c r="V28" s="35"/>
      <c r="W28" s="35">
        <v>0</v>
      </c>
      <c r="X28" s="35">
        <v>0</v>
      </c>
    </row>
    <row r="29" spans="1:25" x14ac:dyDescent="0.3">
      <c r="A29" t="s">
        <v>713</v>
      </c>
      <c r="B29" s="35">
        <f>Accounts!R67</f>
        <v>6875.9800000000014</v>
      </c>
      <c r="C29" s="35"/>
      <c r="D29" s="35"/>
      <c r="E29" s="35"/>
      <c r="F29" s="35"/>
      <c r="G29" s="35"/>
      <c r="H29" s="175" t="s">
        <v>5</v>
      </c>
      <c r="I29" s="35">
        <v>0</v>
      </c>
      <c r="J29" s="35">
        <v>0</v>
      </c>
      <c r="K29" s="112" t="s">
        <v>5</v>
      </c>
      <c r="L29" s="112">
        <v>0</v>
      </c>
      <c r="M29" s="112">
        <v>0</v>
      </c>
      <c r="N29" s="35">
        <v>0</v>
      </c>
      <c r="O29" s="35">
        <v>0</v>
      </c>
      <c r="P29" s="35"/>
      <c r="Q29" t="s">
        <v>48</v>
      </c>
      <c r="R29" s="35">
        <v>0</v>
      </c>
      <c r="S29" s="35"/>
      <c r="T29" t="s">
        <v>5</v>
      </c>
      <c r="U29" s="35">
        <v>0</v>
      </c>
      <c r="V29" s="35"/>
      <c r="W29" s="35">
        <v>0</v>
      </c>
      <c r="X29" s="35">
        <v>0</v>
      </c>
    </row>
    <row r="30" spans="1:25" x14ac:dyDescent="0.3">
      <c r="A30" t="s">
        <v>132</v>
      </c>
      <c r="B30" s="35">
        <f>Accounts!S67</f>
        <v>0</v>
      </c>
      <c r="C30" s="35"/>
      <c r="D30" s="35"/>
      <c r="E30" s="35"/>
      <c r="F30" s="35"/>
      <c r="G30" s="35"/>
      <c r="H30" s="175" t="s">
        <v>18</v>
      </c>
      <c r="I30" s="35">
        <v>4862.2</v>
      </c>
      <c r="J30" s="35">
        <v>150</v>
      </c>
      <c r="K30" s="112" t="s">
        <v>18</v>
      </c>
      <c r="L30" s="112">
        <v>150</v>
      </c>
      <c r="M30" s="112">
        <v>150</v>
      </c>
      <c r="N30" s="35">
        <v>150</v>
      </c>
      <c r="O30" s="35">
        <v>1868.18</v>
      </c>
      <c r="P30" s="35"/>
      <c r="Q30" t="s">
        <v>18</v>
      </c>
      <c r="R30" s="35">
        <v>130</v>
      </c>
      <c r="S30" s="35"/>
      <c r="T30" t="s">
        <v>122</v>
      </c>
      <c r="U30" s="35">
        <v>-65</v>
      </c>
      <c r="V30" s="35">
        <v>-130</v>
      </c>
      <c r="W30" s="35">
        <v>-130</v>
      </c>
      <c r="X30" s="35">
        <v>0</v>
      </c>
    </row>
    <row r="31" spans="1:25" x14ac:dyDescent="0.3">
      <c r="C31" s="35"/>
      <c r="D31" s="35"/>
      <c r="E31" s="35"/>
      <c r="F31" s="35"/>
      <c r="G31" s="35"/>
      <c r="H31" s="175" t="s">
        <v>132</v>
      </c>
      <c r="I31" s="35">
        <v>2334.0800000000004</v>
      </c>
      <c r="J31" s="35">
        <v>2740.23</v>
      </c>
      <c r="K31" s="112" t="s">
        <v>132</v>
      </c>
      <c r="L31" s="112">
        <v>2216.44</v>
      </c>
      <c r="M31" s="112">
        <v>157.91999999999999</v>
      </c>
      <c r="N31" s="35">
        <v>2062.5</v>
      </c>
      <c r="O31" s="35">
        <v>853.89</v>
      </c>
      <c r="P31" s="35"/>
      <c r="Q31" t="s">
        <v>132</v>
      </c>
      <c r="R31" s="35">
        <v>3004.83</v>
      </c>
      <c r="S31" s="35"/>
      <c r="T31" t="s">
        <v>123</v>
      </c>
      <c r="U31" s="35">
        <v>-3142.11</v>
      </c>
      <c r="V31" s="35">
        <v>-1417.49</v>
      </c>
      <c r="W31" s="35">
        <v>-269</v>
      </c>
      <c r="X31" s="35">
        <v>29.36</v>
      </c>
    </row>
    <row r="32" spans="1:25" x14ac:dyDescent="0.3">
      <c r="B32" s="35"/>
      <c r="C32" s="35"/>
      <c r="D32" s="35"/>
      <c r="E32" s="35"/>
      <c r="F32" s="35"/>
      <c r="G32" s="35"/>
      <c r="H32" s="175"/>
      <c r="I32" s="35"/>
      <c r="J32" s="35"/>
      <c r="K32" s="112"/>
      <c r="L32" s="112"/>
      <c r="M32" s="112"/>
      <c r="N32" s="35"/>
      <c r="O32" s="35"/>
      <c r="P32" s="35"/>
      <c r="Q32" t="s">
        <v>139</v>
      </c>
      <c r="R32" s="35">
        <v>6786.8499999999995</v>
      </c>
      <c r="S32" s="35"/>
      <c r="U32" s="35"/>
      <c r="V32" s="35"/>
      <c r="W32" s="35"/>
      <c r="X32" s="35"/>
    </row>
    <row r="33" spans="1:26" x14ac:dyDescent="0.3">
      <c r="A33" s="16" t="s">
        <v>9</v>
      </c>
      <c r="B33" s="36">
        <f>SUM(B22:B32)</f>
        <v>27944.959999999999</v>
      </c>
      <c r="C33" s="36"/>
      <c r="D33" s="110"/>
      <c r="E33" s="110"/>
      <c r="F33" s="110"/>
      <c r="G33" s="110"/>
      <c r="H33" s="109" t="s">
        <v>9</v>
      </c>
      <c r="I33" s="110">
        <v>27606.600000000002</v>
      </c>
      <c r="J33" s="110">
        <v>25747.85</v>
      </c>
      <c r="K33" s="111" t="s">
        <v>9</v>
      </c>
      <c r="L33" s="111">
        <v>18900.249999999996</v>
      </c>
      <c r="M33" s="111">
        <v>4440.6799999999994</v>
      </c>
      <c r="N33" s="110">
        <v>6156.47</v>
      </c>
      <c r="O33" s="110">
        <v>18820.13</v>
      </c>
      <c r="P33" s="110"/>
      <c r="Q33" s="16" t="s">
        <v>9</v>
      </c>
      <c r="R33" s="36">
        <v>38002.799999999996</v>
      </c>
      <c r="S33" s="36"/>
      <c r="T33" s="36"/>
      <c r="U33" s="36">
        <v>-24656.13</v>
      </c>
      <c r="V33" s="36">
        <v>-19610.009999999998</v>
      </c>
      <c r="W33" s="36">
        <f>SUM(W21:W31)</f>
        <v>-6705.9</v>
      </c>
      <c r="X33" s="36">
        <f>SUM(X21:X31)</f>
        <v>-7507.76</v>
      </c>
      <c r="Y33" s="31"/>
      <c r="Z33" s="20"/>
    </row>
    <row r="34" spans="1:26" x14ac:dyDescent="0.3">
      <c r="B34" s="35"/>
      <c r="C34" s="35"/>
      <c r="D34" s="35"/>
      <c r="E34" s="35"/>
      <c r="F34" s="35"/>
      <c r="G34" s="35"/>
      <c r="H34" s="175"/>
      <c r="I34" s="35"/>
      <c r="J34" s="35"/>
      <c r="K34" s="112"/>
      <c r="L34" s="112"/>
      <c r="M34" s="112"/>
      <c r="N34" s="35"/>
      <c r="O34" s="35"/>
      <c r="P34" s="35"/>
      <c r="R34" s="35"/>
      <c r="S34" s="35"/>
      <c r="T34" s="35"/>
      <c r="U34" s="35"/>
      <c r="V34" s="35"/>
      <c r="W34" s="35"/>
      <c r="X34" s="35"/>
      <c r="Z34" s="20"/>
    </row>
    <row r="35" spans="1:26" ht="15" thickBot="1" x14ac:dyDescent="0.35">
      <c r="A35" s="16" t="s">
        <v>42</v>
      </c>
      <c r="B35" s="37">
        <f>B18-B33</f>
        <v>9099.86</v>
      </c>
      <c r="C35" s="37"/>
      <c r="D35" s="111"/>
      <c r="E35" s="111"/>
      <c r="F35" s="111"/>
      <c r="G35" s="111"/>
      <c r="H35" s="111" t="s">
        <v>177</v>
      </c>
      <c r="I35" s="111">
        <v>-8297.66</v>
      </c>
      <c r="J35" s="111">
        <v>-5006.7099999999991</v>
      </c>
      <c r="K35" s="111" t="s">
        <v>183</v>
      </c>
      <c r="L35" s="111">
        <v>-4564.2399999999961</v>
      </c>
      <c r="M35" s="111">
        <v>8855.4200000000019</v>
      </c>
      <c r="N35" s="111">
        <v>11009.32</v>
      </c>
      <c r="O35" s="111">
        <v>4939.5399999999972</v>
      </c>
      <c r="P35" s="111"/>
      <c r="Q35" s="16" t="s">
        <v>42</v>
      </c>
      <c r="R35" s="37">
        <v>-456.34999999999854</v>
      </c>
      <c r="S35" s="37"/>
      <c r="T35" s="37"/>
      <c r="U35" s="37">
        <v>3314.989999999998</v>
      </c>
      <c r="V35" s="37">
        <v>2903.67</v>
      </c>
      <c r="W35" s="37">
        <f>W18+W33</f>
        <v>4921.5400000000009</v>
      </c>
      <c r="X35" s="37">
        <f>X18+X33</f>
        <v>5130.7199999999993</v>
      </c>
      <c r="Z35" s="20"/>
    </row>
    <row r="36" spans="1:26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R36" s="1"/>
      <c r="S36" s="1"/>
      <c r="T36" s="1"/>
      <c r="U36" s="1"/>
      <c r="V36" s="1"/>
      <c r="W36" s="1"/>
      <c r="X36" s="1"/>
      <c r="Z36" s="20"/>
    </row>
    <row r="37" spans="1:26" x14ac:dyDescent="0.3">
      <c r="A37" s="16" t="s">
        <v>10</v>
      </c>
      <c r="B37" s="31" t="s">
        <v>316</v>
      </c>
      <c r="C37" s="31"/>
      <c r="D37" s="31"/>
      <c r="E37" s="31"/>
      <c r="F37" s="31"/>
      <c r="G37" s="31"/>
      <c r="H37" s="31" t="s">
        <v>10</v>
      </c>
      <c r="I37" s="31" t="s">
        <v>257</v>
      </c>
      <c r="J37" s="31" t="s">
        <v>219</v>
      </c>
      <c r="K37" s="130" t="s">
        <v>10</v>
      </c>
      <c r="L37" s="31" t="s">
        <v>206</v>
      </c>
      <c r="M37" s="31" t="s">
        <v>182</v>
      </c>
      <c r="N37" s="31" t="s">
        <v>178</v>
      </c>
      <c r="O37" s="31" t="s">
        <v>156</v>
      </c>
      <c r="P37" s="31"/>
      <c r="Q37" s="16" t="s">
        <v>10</v>
      </c>
      <c r="R37" s="31" t="s">
        <v>128</v>
      </c>
      <c r="S37" s="31"/>
      <c r="T37" s="31"/>
      <c r="U37" s="31" t="s">
        <v>49</v>
      </c>
      <c r="V37" s="31" t="s">
        <v>13</v>
      </c>
      <c r="W37" s="31" t="s">
        <v>6</v>
      </c>
      <c r="X37" s="31" t="s">
        <v>7</v>
      </c>
      <c r="Z37" s="20"/>
    </row>
    <row r="38" spans="1:26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R38" s="1"/>
      <c r="S38" s="1"/>
      <c r="T38" s="1"/>
      <c r="U38" s="1"/>
      <c r="V38" s="1"/>
      <c r="W38" s="1"/>
      <c r="X38" s="1"/>
      <c r="Z38" s="20"/>
    </row>
    <row r="39" spans="1:26" x14ac:dyDescent="0.3">
      <c r="A39" t="s">
        <v>11</v>
      </c>
      <c r="B39" s="1">
        <f>I47</f>
        <v>23374.12</v>
      </c>
      <c r="C39" s="1"/>
      <c r="D39" s="1"/>
      <c r="E39" s="1"/>
      <c r="F39" s="1"/>
      <c r="G39" s="1"/>
      <c r="H39" s="1" t="s">
        <v>11</v>
      </c>
      <c r="I39" s="1">
        <v>31671.78</v>
      </c>
      <c r="J39" s="1">
        <v>36678.49</v>
      </c>
      <c r="K39" s="1" t="s">
        <v>11</v>
      </c>
      <c r="L39" s="1">
        <v>41242.729999999996</v>
      </c>
      <c r="M39" s="1">
        <v>32387.31</v>
      </c>
      <c r="N39" s="1">
        <v>21377.99</v>
      </c>
      <c r="O39" s="1">
        <v>16438.45</v>
      </c>
      <c r="P39" s="1"/>
      <c r="Q39" t="s">
        <v>11</v>
      </c>
      <c r="R39" s="1">
        <v>17014.28</v>
      </c>
      <c r="S39" s="1"/>
      <c r="T39" s="1"/>
      <c r="U39" s="1">
        <v>13699.29</v>
      </c>
      <c r="V39" s="1">
        <v>10816.27</v>
      </c>
      <c r="W39" s="1">
        <v>5894.73</v>
      </c>
      <c r="X39" s="1">
        <f>138.19+190.2+494.34</f>
        <v>822.73</v>
      </c>
      <c r="Z39" s="20"/>
    </row>
    <row r="40" spans="1:26" ht="15" thickBot="1" x14ac:dyDescent="0.35">
      <c r="A40" t="s">
        <v>43</v>
      </c>
      <c r="B40" s="1">
        <f>B35</f>
        <v>9099.86</v>
      </c>
      <c r="C40" s="1"/>
      <c r="D40" s="1"/>
      <c r="E40" s="1"/>
      <c r="F40" s="1"/>
      <c r="G40" s="1"/>
      <c r="H40" s="1" t="s">
        <v>177</v>
      </c>
      <c r="I40" s="1">
        <v>-8297.66</v>
      </c>
      <c r="J40" s="1">
        <v>-5006.7099999999991</v>
      </c>
      <c r="K40" s="1" t="s">
        <v>177</v>
      </c>
      <c r="L40" s="1">
        <v>-4564.2399999999961</v>
      </c>
      <c r="M40" s="1">
        <v>8855.4200000000019</v>
      </c>
      <c r="N40" s="1">
        <v>11009.32</v>
      </c>
      <c r="O40" s="1">
        <v>4939.5399999999972</v>
      </c>
      <c r="P40" s="1"/>
      <c r="Q40" t="s">
        <v>43</v>
      </c>
      <c r="R40" s="1">
        <v>-456.34999999999854</v>
      </c>
      <c r="S40" s="1"/>
      <c r="T40" s="1"/>
      <c r="U40" s="1">
        <v>3314.989999999998</v>
      </c>
      <c r="V40" s="1">
        <v>2903.67</v>
      </c>
      <c r="W40" s="1">
        <v>4921.54</v>
      </c>
      <c r="X40" s="1">
        <f>X35</f>
        <v>5130.7199999999993</v>
      </c>
      <c r="Z40" s="20"/>
    </row>
    <row r="41" spans="1:26" ht="15" thickBot="1" x14ac:dyDescent="0.35">
      <c r="A41" s="16" t="s">
        <v>12</v>
      </c>
      <c r="B41" s="34">
        <f>SUM(B39:B40)</f>
        <v>32473.98</v>
      </c>
      <c r="C41" s="34"/>
      <c r="D41" s="109"/>
      <c r="E41" s="109"/>
      <c r="F41" s="109"/>
      <c r="G41" s="109"/>
      <c r="H41" s="109" t="s">
        <v>12</v>
      </c>
      <c r="I41" s="109">
        <v>23374.12</v>
      </c>
      <c r="J41" s="109">
        <v>31671.78</v>
      </c>
      <c r="K41" s="109" t="s">
        <v>12</v>
      </c>
      <c r="L41" s="109">
        <v>36678.49</v>
      </c>
      <c r="M41" s="109">
        <v>41242.730000000003</v>
      </c>
      <c r="N41" s="109">
        <v>32387.31</v>
      </c>
      <c r="O41" s="109">
        <v>21377.989999999998</v>
      </c>
      <c r="P41" s="109"/>
      <c r="Q41" s="16" t="s">
        <v>12</v>
      </c>
      <c r="R41" s="34">
        <v>16557.93</v>
      </c>
      <c r="S41" s="34"/>
      <c r="T41" s="34"/>
      <c r="U41" s="34">
        <v>17014.28</v>
      </c>
      <c r="V41" s="34">
        <v>13719.94</v>
      </c>
      <c r="W41" s="34">
        <f>SUM(W39:W40)</f>
        <v>10816.27</v>
      </c>
      <c r="X41" s="34">
        <f>SUM(X39:X40)</f>
        <v>5953.4499999999989</v>
      </c>
      <c r="Z41" s="20"/>
    </row>
    <row r="42" spans="1:26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R42" s="1"/>
      <c r="S42" s="1"/>
      <c r="T42" s="1"/>
      <c r="U42" s="1"/>
      <c r="V42" s="1"/>
      <c r="W42" s="1"/>
      <c r="X42" s="1"/>
      <c r="Z42" s="20"/>
    </row>
    <row r="43" spans="1:26" x14ac:dyDescent="0.3">
      <c r="A43" s="16" t="s">
        <v>44</v>
      </c>
      <c r="B43" s="1"/>
      <c r="C43" s="1"/>
      <c r="D43" s="1"/>
      <c r="E43" s="1"/>
      <c r="F43" s="1"/>
      <c r="G43" s="1"/>
      <c r="H43" s="1" t="s">
        <v>44</v>
      </c>
      <c r="I43" s="1"/>
      <c r="J43" s="1"/>
      <c r="K43" s="109" t="s">
        <v>44</v>
      </c>
      <c r="L43" s="1"/>
      <c r="M43" s="1"/>
      <c r="N43" s="1"/>
      <c r="O43" s="1"/>
      <c r="P43" s="1"/>
      <c r="Q43" s="16" t="s">
        <v>44</v>
      </c>
      <c r="R43" s="1"/>
      <c r="S43" s="1"/>
      <c r="T43" s="1"/>
      <c r="U43" s="1"/>
      <c r="V43" s="1"/>
      <c r="W43" s="1"/>
      <c r="X43" s="1"/>
      <c r="Z43" s="20"/>
    </row>
    <row r="44" spans="1:26" x14ac:dyDescent="0.3">
      <c r="A44" t="s">
        <v>38</v>
      </c>
      <c r="B44" s="1">
        <f>CashBook!E30</f>
        <v>45.09</v>
      </c>
      <c r="C44" s="1"/>
      <c r="D44" s="1"/>
      <c r="E44" s="1"/>
      <c r="F44" s="1"/>
      <c r="G44" s="1"/>
      <c r="H44" s="1" t="s">
        <v>38</v>
      </c>
      <c r="I44" s="1">
        <v>45.09</v>
      </c>
      <c r="J44" s="1">
        <v>45.09</v>
      </c>
      <c r="K44" s="1" t="s">
        <v>38</v>
      </c>
      <c r="L44" s="1">
        <v>44.09</v>
      </c>
      <c r="M44" s="1">
        <v>44.09</v>
      </c>
      <c r="N44" s="1">
        <v>44.09</v>
      </c>
      <c r="O44" s="1">
        <v>44.09</v>
      </c>
      <c r="P44" s="1"/>
      <c r="Q44" t="s">
        <v>38</v>
      </c>
      <c r="R44" s="1">
        <v>74.09</v>
      </c>
      <c r="S44" s="1"/>
      <c r="T44" s="1"/>
      <c r="U44" s="1">
        <v>74.39</v>
      </c>
      <c r="V44" s="1">
        <v>186.41</v>
      </c>
      <c r="W44" s="1">
        <v>290.88</v>
      </c>
      <c r="X44" s="1">
        <v>190.2</v>
      </c>
    </row>
    <row r="45" spans="1:26" x14ac:dyDescent="0.3">
      <c r="A45" t="s">
        <v>45</v>
      </c>
      <c r="B45" s="1">
        <f>'Bank Account'!K3</f>
        <v>32428.89</v>
      </c>
      <c r="C45" s="1"/>
      <c r="D45" s="1"/>
      <c r="E45" s="1"/>
      <c r="F45" s="1"/>
      <c r="G45" s="1"/>
      <c r="H45" s="1" t="s">
        <v>45</v>
      </c>
      <c r="I45" s="1">
        <v>23329.03</v>
      </c>
      <c r="J45" s="1">
        <v>31626.69</v>
      </c>
      <c r="K45" s="1" t="s">
        <v>45</v>
      </c>
      <c r="L45" s="1">
        <v>36634.400000000001</v>
      </c>
      <c r="M45" s="1">
        <v>41198.639999999999</v>
      </c>
      <c r="N45" s="1">
        <v>32343.22</v>
      </c>
      <c r="O45" s="1">
        <v>21333.9</v>
      </c>
      <c r="P45" s="1"/>
      <c r="Q45" t="s">
        <v>45</v>
      </c>
      <c r="R45" s="1">
        <v>16364.36</v>
      </c>
      <c r="S45" s="1"/>
      <c r="T45" s="1"/>
      <c r="U45" s="1">
        <v>16939.89</v>
      </c>
      <c r="V45" s="1">
        <v>11041.54</v>
      </c>
      <c r="W45" s="1">
        <v>8044.05</v>
      </c>
      <c r="X45" s="1">
        <v>5219.1899999999996</v>
      </c>
      <c r="Z45" s="20"/>
    </row>
    <row r="46" spans="1:26" ht="32.700000000000003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R46" s="1"/>
      <c r="S46" s="1"/>
      <c r="U46" s="1">
        <v>0</v>
      </c>
      <c r="V46" s="1">
        <v>2471.34</v>
      </c>
      <c r="W46" s="1">
        <v>2481.34</v>
      </c>
      <c r="X46" s="1">
        <v>485.34</v>
      </c>
      <c r="Y46" s="40" t="s">
        <v>52</v>
      </c>
      <c r="Z46" s="20"/>
    </row>
    <row r="47" spans="1:26" ht="15" thickBot="1" x14ac:dyDescent="0.35">
      <c r="B47" s="32">
        <f>SUM(B44:B46)</f>
        <v>32473.98</v>
      </c>
      <c r="C47" s="32"/>
      <c r="D47" s="109"/>
      <c r="E47" s="109"/>
      <c r="F47" s="109"/>
      <c r="G47" s="109"/>
      <c r="H47" s="109"/>
      <c r="I47" s="109">
        <v>23374.12</v>
      </c>
      <c r="J47" s="109">
        <v>31671.78</v>
      </c>
      <c r="K47" s="109"/>
      <c r="L47" s="109">
        <v>36678.49</v>
      </c>
      <c r="M47" s="109">
        <v>41242.729999999996</v>
      </c>
      <c r="N47" s="109">
        <v>32387.31</v>
      </c>
      <c r="O47" s="109">
        <v>21377.99</v>
      </c>
      <c r="P47" s="109"/>
      <c r="R47" s="32">
        <v>16438.45</v>
      </c>
      <c r="S47" s="32"/>
      <c r="T47" s="32"/>
      <c r="U47" s="32">
        <v>17014.28</v>
      </c>
      <c r="V47" s="32">
        <v>13699.29</v>
      </c>
      <c r="W47" s="32">
        <f>SUM(W44:W46)</f>
        <v>10816.27</v>
      </c>
      <c r="X47" s="32">
        <f>SUM(X44:X46)</f>
        <v>5894.73</v>
      </c>
    </row>
    <row r="49" spans="1:26" x14ac:dyDescent="0.3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R49" s="44"/>
      <c r="S49" s="44"/>
      <c r="T49" s="44"/>
      <c r="U49" s="44"/>
      <c r="Z49" s="20"/>
    </row>
    <row r="50" spans="1:26" x14ac:dyDescent="0.3">
      <c r="A50" t="s">
        <v>193</v>
      </c>
      <c r="B50" s="20">
        <f>B47-B41</f>
        <v>0</v>
      </c>
      <c r="C50" s="20"/>
      <c r="D50" s="20"/>
      <c r="E50" s="20"/>
      <c r="F50" s="20"/>
      <c r="G50" s="20"/>
      <c r="H50" s="20" t="s">
        <v>193</v>
      </c>
      <c r="I50" s="20">
        <v>0</v>
      </c>
      <c r="J50" s="20">
        <v>0</v>
      </c>
      <c r="K50" s="20"/>
      <c r="L50" s="20">
        <v>0</v>
      </c>
      <c r="M50" s="20">
        <v>0</v>
      </c>
      <c r="N50" s="20">
        <v>0</v>
      </c>
      <c r="O50" s="20">
        <v>0</v>
      </c>
      <c r="P50" s="20"/>
      <c r="R50" s="20">
        <v>-119.47999999999956</v>
      </c>
      <c r="S50" s="20"/>
      <c r="T50" s="20"/>
      <c r="U50" s="20">
        <v>0</v>
      </c>
      <c r="V50" s="20">
        <f>V47-V41</f>
        <v>-20.649999999999636</v>
      </c>
      <c r="W50" s="20">
        <f>W47-W41</f>
        <v>0</v>
      </c>
      <c r="X50" s="20">
        <f>X47-X41</f>
        <v>-58.719999999999345</v>
      </c>
    </row>
    <row r="53" spans="1:26" x14ac:dyDescent="0.3">
      <c r="A53" s="16"/>
    </row>
    <row r="58" spans="1:26" x14ac:dyDescent="0.3">
      <c r="B58" s="129"/>
    </row>
  </sheetData>
  <conditionalFormatting sqref="AB2:AE3">
    <cfRule type="top10" dxfId="13" priority="15" rank="10"/>
  </conditionalFormatting>
  <conditionalFormatting sqref="AF2:AK3">
    <cfRule type="top10" dxfId="12" priority="16" rank="10"/>
  </conditionalFormatting>
  <pageMargins left="0.7" right="0.7" top="0.75" bottom="0.75" header="0.3" footer="0.3"/>
  <pageSetup paperSize="9" scale="93" fitToHeight="0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33CC"/>
    <pageSetUpPr fitToPage="1"/>
  </sheetPr>
  <dimension ref="A1:K118"/>
  <sheetViews>
    <sheetView workbookViewId="0">
      <pane xSplit="1" ySplit="4" topLeftCell="B110" activePane="bottomRight" state="frozen"/>
      <selection pane="topRight" activeCell="B1" sqref="B1"/>
      <selection pane="bottomLeft" activeCell="A5" sqref="A5"/>
      <selection pane="bottomRight" activeCell="K98" sqref="K98"/>
    </sheetView>
  </sheetViews>
  <sheetFormatPr defaultColWidth="8.6640625" defaultRowHeight="14.4" x14ac:dyDescent="0.3"/>
  <cols>
    <col min="1" max="1" width="16.5546875" customWidth="1"/>
    <col min="2" max="2" width="22.109375" customWidth="1"/>
    <col min="3" max="3" width="9.6640625" customWidth="1"/>
    <col min="4" max="4" width="11.6640625" customWidth="1"/>
    <col min="5" max="5" width="12.44140625" bestFit="1" customWidth="1"/>
    <col min="7" max="7" width="32.33203125" customWidth="1"/>
    <col min="8" max="8" width="15.33203125" customWidth="1"/>
    <col min="9" max="9" width="14.33203125" customWidth="1"/>
  </cols>
  <sheetData>
    <row r="1" spans="1:9" ht="24" customHeight="1" x14ac:dyDescent="0.3">
      <c r="A1" s="173" t="s">
        <v>84</v>
      </c>
      <c r="B1" s="173"/>
      <c r="C1" s="173"/>
      <c r="D1" s="173"/>
      <c r="E1" s="173"/>
      <c r="F1" s="173"/>
      <c r="G1" s="173"/>
      <c r="H1" s="173"/>
      <c r="I1" s="173"/>
    </row>
    <row r="2" spans="1:9" ht="24" customHeight="1" x14ac:dyDescent="0.35">
      <c r="A2" s="54"/>
      <c r="B2" s="54"/>
      <c r="C2" s="54"/>
      <c r="D2" s="54"/>
      <c r="E2" s="54"/>
      <c r="F2" s="54"/>
      <c r="G2" s="54"/>
    </row>
    <row r="3" spans="1:9" ht="15.6" x14ac:dyDescent="0.3">
      <c r="B3" s="171" t="s">
        <v>59</v>
      </c>
      <c r="C3" s="171"/>
      <c r="D3" s="171"/>
      <c r="E3" s="171"/>
      <c r="G3" s="172" t="s">
        <v>68</v>
      </c>
      <c r="H3" s="172"/>
      <c r="I3" s="172"/>
    </row>
    <row r="4" spans="1:9" s="2" customFormat="1" ht="31.2" x14ac:dyDescent="0.3">
      <c r="A4" s="50"/>
      <c r="B4" s="51" t="s">
        <v>58</v>
      </c>
      <c r="C4" s="52" t="s">
        <v>83</v>
      </c>
      <c r="D4" s="51" t="s">
        <v>55</v>
      </c>
      <c r="E4" s="51" t="s">
        <v>63</v>
      </c>
      <c r="G4" s="51" t="s">
        <v>58</v>
      </c>
      <c r="H4" s="52" t="s">
        <v>67</v>
      </c>
      <c r="I4" s="51" t="s">
        <v>66</v>
      </c>
    </row>
    <row r="5" spans="1:9" ht="17.399999999999999" customHeight="1" x14ac:dyDescent="0.3">
      <c r="A5" s="174">
        <v>45536</v>
      </c>
      <c r="B5" t="s">
        <v>180</v>
      </c>
      <c r="C5" s="20">
        <v>15</v>
      </c>
      <c r="D5" s="30"/>
      <c r="E5" s="44">
        <f>SUM(C5:D5)</f>
        <v>15</v>
      </c>
      <c r="H5" s="78"/>
      <c r="I5" s="20"/>
    </row>
    <row r="6" spans="1:9" ht="17.399999999999999" customHeight="1" x14ac:dyDescent="0.3">
      <c r="A6" s="174"/>
      <c r="C6" s="20"/>
      <c r="D6" s="30"/>
      <c r="E6" s="44">
        <f>SUM(C6:D6)</f>
        <v>0</v>
      </c>
      <c r="H6" s="78"/>
      <c r="I6" s="20"/>
    </row>
    <row r="7" spans="1:9" ht="17.399999999999999" customHeight="1" x14ac:dyDescent="0.3">
      <c r="A7" s="174"/>
      <c r="I7" s="20"/>
    </row>
    <row r="8" spans="1:9" ht="17.399999999999999" customHeight="1" x14ac:dyDescent="0.3">
      <c r="A8" s="174"/>
      <c r="C8" s="20"/>
      <c r="D8" s="30"/>
      <c r="E8" s="44"/>
      <c r="H8" s="78"/>
      <c r="I8" s="20"/>
    </row>
    <row r="9" spans="1:9" ht="17.399999999999999" customHeight="1" x14ac:dyDescent="0.3">
      <c r="A9" s="174"/>
      <c r="C9" s="20"/>
      <c r="D9" s="30"/>
      <c r="E9" s="44"/>
      <c r="H9" s="78"/>
      <c r="I9" s="20"/>
    </row>
    <row r="10" spans="1:9" ht="17.399999999999999" customHeight="1" x14ac:dyDescent="0.3">
      <c r="A10" s="174"/>
      <c r="C10" s="20"/>
      <c r="D10" s="30"/>
      <c r="E10" s="44">
        <f>SUM(C10:D10)</f>
        <v>0</v>
      </c>
      <c r="H10" s="78"/>
      <c r="I10" s="20"/>
    </row>
    <row r="11" spans="1:9" x14ac:dyDescent="0.3">
      <c r="A11" s="170"/>
      <c r="C11" s="20"/>
      <c r="D11" s="30"/>
      <c r="E11" s="44">
        <f>SUM(C11:D11)</f>
        <v>0</v>
      </c>
      <c r="I11" s="20"/>
    </row>
    <row r="12" spans="1:9" ht="19.2" customHeight="1" x14ac:dyDescent="0.3">
      <c r="A12" s="170"/>
      <c r="C12" s="20"/>
      <c r="D12" s="30"/>
      <c r="E12" s="44">
        <f>SUM(C12:D12)</f>
        <v>0</v>
      </c>
    </row>
    <row r="13" spans="1:9" ht="17.399999999999999" customHeight="1" x14ac:dyDescent="0.3">
      <c r="A13" s="170"/>
      <c r="B13" t="s">
        <v>85</v>
      </c>
      <c r="C13" s="20"/>
      <c r="E13" s="49">
        <f>SUM(E5:E12)</f>
        <v>15</v>
      </c>
      <c r="G13" t="s">
        <v>86</v>
      </c>
      <c r="I13" s="53">
        <f>SUM(I5:I12)</f>
        <v>0</v>
      </c>
    </row>
    <row r="14" spans="1:9" s="55" customFormat="1" x14ac:dyDescent="0.3"/>
    <row r="15" spans="1:9" ht="17.399999999999999" customHeight="1" x14ac:dyDescent="0.3">
      <c r="A15" s="174">
        <v>45566</v>
      </c>
      <c r="C15" s="20"/>
      <c r="E15" s="44">
        <f>SUM(C15:D15)</f>
        <v>0</v>
      </c>
      <c r="I15" s="20"/>
    </row>
    <row r="16" spans="1:9" ht="17.399999999999999" customHeight="1" x14ac:dyDescent="0.3">
      <c r="A16" s="174"/>
      <c r="B16" t="s">
        <v>180</v>
      </c>
      <c r="C16" s="20">
        <v>15</v>
      </c>
      <c r="E16" s="44">
        <f>SUM(C16:D16)</f>
        <v>15</v>
      </c>
      <c r="I16" s="20"/>
    </row>
    <row r="17" spans="1:9" ht="17.399999999999999" customHeight="1" x14ac:dyDescent="0.3">
      <c r="A17" s="174"/>
      <c r="I17" s="20"/>
    </row>
    <row r="18" spans="1:9" ht="17.399999999999999" customHeight="1" x14ac:dyDescent="0.3">
      <c r="A18" s="174"/>
      <c r="C18" s="20"/>
      <c r="E18" s="44">
        <f>SUM(C18:D18)</f>
        <v>0</v>
      </c>
      <c r="I18" s="20"/>
    </row>
    <row r="19" spans="1:9" ht="17.399999999999999" customHeight="1" x14ac:dyDescent="0.3">
      <c r="A19" s="174"/>
      <c r="C19" s="20"/>
      <c r="E19" s="44">
        <f>SUM(C19:D19)</f>
        <v>0</v>
      </c>
      <c r="I19" s="20"/>
    </row>
    <row r="20" spans="1:9" x14ac:dyDescent="0.3">
      <c r="A20" s="170"/>
      <c r="C20" s="20"/>
      <c r="E20" s="44">
        <f>SUM(C20:D20)</f>
        <v>0</v>
      </c>
    </row>
    <row r="21" spans="1:9" ht="24.45" customHeight="1" x14ac:dyDescent="0.3">
      <c r="A21" s="170"/>
      <c r="B21" t="s">
        <v>87</v>
      </c>
      <c r="C21" s="20"/>
      <c r="E21" s="49">
        <f>SUM(E15:E20)</f>
        <v>15</v>
      </c>
      <c r="G21" t="s">
        <v>94</v>
      </c>
      <c r="I21" s="53">
        <f>SUM(I15:I20)</f>
        <v>0</v>
      </c>
    </row>
    <row r="22" spans="1:9" s="55" customFormat="1" x14ac:dyDescent="0.3"/>
    <row r="23" spans="1:9" ht="17.399999999999999" customHeight="1" x14ac:dyDescent="0.3">
      <c r="A23" s="174">
        <v>45597</v>
      </c>
      <c r="C23" s="20"/>
      <c r="E23" s="44">
        <f>SUM(C23:D23)</f>
        <v>0</v>
      </c>
      <c r="H23" s="78"/>
      <c r="I23" s="20"/>
    </row>
    <row r="24" spans="1:9" ht="17.399999999999999" customHeight="1" x14ac:dyDescent="0.3">
      <c r="A24" s="174"/>
      <c r="B24" t="s">
        <v>180</v>
      </c>
      <c r="C24" s="20">
        <v>1</v>
      </c>
      <c r="E24" s="44">
        <f>SUM(C24:D24)</f>
        <v>1</v>
      </c>
      <c r="H24" s="78"/>
      <c r="I24" s="20"/>
    </row>
    <row r="25" spans="1:9" ht="17.399999999999999" customHeight="1" x14ac:dyDescent="0.3">
      <c r="A25" s="174"/>
      <c r="H25" s="78"/>
      <c r="I25" s="20"/>
    </row>
    <row r="26" spans="1:9" ht="17.399999999999999" customHeight="1" x14ac:dyDescent="0.3">
      <c r="A26" s="174"/>
      <c r="C26" s="20"/>
      <c r="E26" s="44">
        <f>SUM(C26:D26)</f>
        <v>0</v>
      </c>
      <c r="H26" s="78"/>
      <c r="I26" s="20"/>
    </row>
    <row r="27" spans="1:9" ht="17.399999999999999" customHeight="1" x14ac:dyDescent="0.3">
      <c r="A27" s="174"/>
      <c r="C27" s="20"/>
      <c r="E27" s="44">
        <f>SUM(C27:D27)</f>
        <v>0</v>
      </c>
      <c r="H27" s="78"/>
      <c r="I27" s="20"/>
    </row>
    <row r="28" spans="1:9" x14ac:dyDescent="0.3">
      <c r="A28" s="170"/>
      <c r="C28" s="20"/>
      <c r="E28" s="44">
        <f>SUM(C28:D28)</f>
        <v>0</v>
      </c>
    </row>
    <row r="29" spans="1:9" ht="22.2" customHeight="1" x14ac:dyDescent="0.3">
      <c r="A29" s="170"/>
      <c r="B29" t="s">
        <v>88</v>
      </c>
      <c r="C29" s="20"/>
      <c r="E29" s="49">
        <f>SUM(E23:E28)</f>
        <v>1</v>
      </c>
      <c r="G29" t="s">
        <v>95</v>
      </c>
      <c r="I29" s="53">
        <f>SUM(I23:I28)</f>
        <v>0</v>
      </c>
    </row>
    <row r="30" spans="1:9" s="55" customFormat="1" x14ac:dyDescent="0.3"/>
    <row r="31" spans="1:9" ht="17.399999999999999" customHeight="1" x14ac:dyDescent="0.3">
      <c r="A31" s="174">
        <v>45627</v>
      </c>
      <c r="C31" s="20"/>
      <c r="E31" s="44">
        <f>SUM(C31:D31)</f>
        <v>0</v>
      </c>
      <c r="I31" s="20"/>
    </row>
    <row r="32" spans="1:9" ht="17.399999999999999" customHeight="1" x14ac:dyDescent="0.3">
      <c r="A32" s="174"/>
      <c r="C32" s="20"/>
      <c r="E32" s="44">
        <f>SUM(C32:D32)</f>
        <v>0</v>
      </c>
      <c r="I32" s="20"/>
    </row>
    <row r="33" spans="1:9" ht="17.399999999999999" customHeight="1" x14ac:dyDescent="0.3">
      <c r="A33" s="174"/>
      <c r="I33" s="20"/>
    </row>
    <row r="34" spans="1:9" ht="17.399999999999999" customHeight="1" x14ac:dyDescent="0.3">
      <c r="A34" s="174"/>
      <c r="C34" s="20"/>
      <c r="E34" s="44">
        <f>SUM(C34:D34)</f>
        <v>0</v>
      </c>
      <c r="I34" s="20"/>
    </row>
    <row r="35" spans="1:9" ht="17.399999999999999" customHeight="1" x14ac:dyDescent="0.3">
      <c r="A35" s="174"/>
      <c r="C35" s="20"/>
      <c r="E35" s="44">
        <f>SUM(C35:D35)</f>
        <v>0</v>
      </c>
      <c r="I35" s="20"/>
    </row>
    <row r="36" spans="1:9" ht="17.399999999999999" customHeight="1" x14ac:dyDescent="0.3">
      <c r="A36" s="174"/>
      <c r="E36" s="44">
        <f>SUM(C36:D36)</f>
        <v>0</v>
      </c>
      <c r="I36" s="20"/>
    </row>
    <row r="37" spans="1:9" x14ac:dyDescent="0.3">
      <c r="A37" s="170"/>
      <c r="C37" s="20"/>
      <c r="E37" s="48"/>
    </row>
    <row r="38" spans="1:9" x14ac:dyDescent="0.3">
      <c r="A38" s="170"/>
      <c r="B38" t="s">
        <v>89</v>
      </c>
      <c r="C38" s="20"/>
      <c r="E38" s="49">
        <f>SUM(E31:E37)</f>
        <v>0</v>
      </c>
      <c r="G38" t="s">
        <v>96</v>
      </c>
      <c r="I38" s="53">
        <f>SUM(I31:I37)</f>
        <v>0</v>
      </c>
    </row>
    <row r="39" spans="1:9" s="55" customFormat="1" x14ac:dyDescent="0.3"/>
    <row r="40" spans="1:9" ht="17.399999999999999" customHeight="1" x14ac:dyDescent="0.3">
      <c r="A40" s="174">
        <v>45658</v>
      </c>
      <c r="C40" s="20"/>
      <c r="E40" s="44">
        <f t="shared" ref="E40:E46" si="0">SUM(C40:D40)</f>
        <v>0</v>
      </c>
      <c r="I40" s="20"/>
    </row>
    <row r="41" spans="1:9" ht="17.399999999999999" customHeight="1" x14ac:dyDescent="0.3">
      <c r="A41" s="174"/>
      <c r="C41" s="20"/>
      <c r="E41" s="44">
        <f t="shared" si="0"/>
        <v>0</v>
      </c>
      <c r="I41" s="20"/>
    </row>
    <row r="42" spans="1:9" ht="17.399999999999999" customHeight="1" x14ac:dyDescent="0.3">
      <c r="A42" s="174"/>
      <c r="C42" s="20"/>
      <c r="E42" s="44">
        <f t="shared" si="0"/>
        <v>0</v>
      </c>
      <c r="I42" s="20"/>
    </row>
    <row r="43" spans="1:9" ht="17.399999999999999" customHeight="1" x14ac:dyDescent="0.3">
      <c r="A43" s="174"/>
      <c r="C43" s="20"/>
      <c r="E43" s="44">
        <f t="shared" si="0"/>
        <v>0</v>
      </c>
      <c r="I43" s="20"/>
    </row>
    <row r="44" spans="1:9" ht="17.399999999999999" customHeight="1" x14ac:dyDescent="0.3">
      <c r="A44" s="174"/>
      <c r="C44" s="20"/>
      <c r="E44" s="44">
        <f t="shared" si="0"/>
        <v>0</v>
      </c>
      <c r="I44" s="20"/>
    </row>
    <row r="45" spans="1:9" ht="17.399999999999999" customHeight="1" x14ac:dyDescent="0.3">
      <c r="A45" s="174"/>
      <c r="E45" s="44">
        <f t="shared" si="0"/>
        <v>0</v>
      </c>
      <c r="I45" s="20"/>
    </row>
    <row r="46" spans="1:9" x14ac:dyDescent="0.3">
      <c r="A46" s="170"/>
      <c r="B46" s="40"/>
      <c r="C46" s="20"/>
      <c r="E46" s="44">
        <f t="shared" si="0"/>
        <v>0</v>
      </c>
    </row>
    <row r="47" spans="1:9" x14ac:dyDescent="0.3">
      <c r="A47" s="170"/>
      <c r="B47" t="s">
        <v>90</v>
      </c>
      <c r="C47" s="20"/>
      <c r="E47" s="49">
        <f>SUM(E40:E46)</f>
        <v>0</v>
      </c>
      <c r="G47" t="s">
        <v>97</v>
      </c>
      <c r="I47" s="53">
        <f>SUM(I40:I46)</f>
        <v>0</v>
      </c>
    </row>
    <row r="48" spans="1:9" s="55" customFormat="1" x14ac:dyDescent="0.3"/>
    <row r="49" spans="1:9" ht="17.399999999999999" customHeight="1" x14ac:dyDescent="0.3">
      <c r="A49" s="174">
        <v>45689</v>
      </c>
      <c r="C49" s="20"/>
      <c r="E49" s="44">
        <f t="shared" ref="E49:E54" si="1">SUM(C49:D49)</f>
        <v>0</v>
      </c>
      <c r="I49" s="20"/>
    </row>
    <row r="50" spans="1:9" ht="17.399999999999999" customHeight="1" x14ac:dyDescent="0.3">
      <c r="A50" s="174"/>
      <c r="C50" s="20"/>
      <c r="E50" s="44">
        <f t="shared" si="1"/>
        <v>0</v>
      </c>
      <c r="I50" s="20"/>
    </row>
    <row r="51" spans="1:9" ht="17.399999999999999" customHeight="1" x14ac:dyDescent="0.3">
      <c r="A51" s="174"/>
      <c r="C51" s="20"/>
      <c r="E51" s="44">
        <f t="shared" si="1"/>
        <v>0</v>
      </c>
      <c r="I51" s="20"/>
    </row>
    <row r="52" spans="1:9" ht="17.399999999999999" customHeight="1" x14ac:dyDescent="0.3">
      <c r="A52" s="174"/>
      <c r="C52" s="20"/>
      <c r="E52" s="44">
        <f t="shared" si="1"/>
        <v>0</v>
      </c>
      <c r="I52" s="20"/>
    </row>
    <row r="53" spans="1:9" ht="17.399999999999999" customHeight="1" x14ac:dyDescent="0.3">
      <c r="A53" s="174"/>
      <c r="C53" s="20"/>
      <c r="E53" s="44">
        <f t="shared" si="1"/>
        <v>0</v>
      </c>
      <c r="I53" s="20"/>
    </row>
    <row r="54" spans="1:9" x14ac:dyDescent="0.3">
      <c r="A54" s="170"/>
      <c r="E54" s="44">
        <f t="shared" si="1"/>
        <v>0</v>
      </c>
    </row>
    <row r="55" spans="1:9" x14ac:dyDescent="0.3">
      <c r="A55" s="170"/>
      <c r="B55" t="s">
        <v>91</v>
      </c>
      <c r="C55" s="20"/>
      <c r="E55" s="49">
        <f>SUM(E49:E54)</f>
        <v>0</v>
      </c>
      <c r="G55" t="s">
        <v>98</v>
      </c>
      <c r="I55" s="53">
        <f>SUM(I49:I54)</f>
        <v>0</v>
      </c>
    </row>
    <row r="56" spans="1:9" s="55" customFormat="1" x14ac:dyDescent="0.3"/>
    <row r="57" spans="1:9" ht="31.2" customHeight="1" x14ac:dyDescent="0.3">
      <c r="A57" s="174">
        <v>45717</v>
      </c>
      <c r="C57" s="20"/>
      <c r="E57" s="44">
        <f t="shared" ref="E57:E62" si="2">SUM(C57:D57)</f>
        <v>0</v>
      </c>
      <c r="G57" s="40"/>
      <c r="H57" s="78"/>
      <c r="I57" s="20"/>
    </row>
    <row r="58" spans="1:9" ht="17.399999999999999" customHeight="1" x14ac:dyDescent="0.3">
      <c r="A58" s="174"/>
      <c r="C58" s="20"/>
      <c r="E58" s="44">
        <f t="shared" si="2"/>
        <v>0</v>
      </c>
      <c r="I58" s="20"/>
    </row>
    <row r="59" spans="1:9" ht="17.399999999999999" customHeight="1" x14ac:dyDescent="0.3">
      <c r="A59" s="174"/>
      <c r="C59" s="20"/>
      <c r="E59" s="44">
        <f t="shared" si="2"/>
        <v>0</v>
      </c>
      <c r="I59" s="20"/>
    </row>
    <row r="60" spans="1:9" ht="17.399999999999999" customHeight="1" x14ac:dyDescent="0.3">
      <c r="A60" s="174"/>
      <c r="C60" s="20"/>
      <c r="E60" s="44">
        <f t="shared" si="2"/>
        <v>0</v>
      </c>
      <c r="I60" s="20"/>
    </row>
    <row r="61" spans="1:9" ht="17.399999999999999" customHeight="1" x14ac:dyDescent="0.3">
      <c r="A61" s="174"/>
      <c r="C61" s="20"/>
      <c r="E61" s="44">
        <f t="shared" si="2"/>
        <v>0</v>
      </c>
      <c r="I61" s="20"/>
    </row>
    <row r="62" spans="1:9" ht="17.399999999999999" customHeight="1" x14ac:dyDescent="0.3">
      <c r="A62" s="174"/>
      <c r="E62" s="44">
        <f t="shared" si="2"/>
        <v>0</v>
      </c>
      <c r="I62" s="20"/>
    </row>
    <row r="63" spans="1:9" ht="17.399999999999999" customHeight="1" x14ac:dyDescent="0.3">
      <c r="A63" s="174"/>
      <c r="C63" s="20"/>
      <c r="E63" s="44"/>
      <c r="I63" s="20"/>
    </row>
    <row r="64" spans="1:9" x14ac:dyDescent="0.3">
      <c r="A64" s="170"/>
      <c r="C64" s="20"/>
      <c r="E64" s="48"/>
    </row>
    <row r="65" spans="1:9" x14ac:dyDescent="0.3">
      <c r="A65" s="170"/>
      <c r="B65" t="s">
        <v>92</v>
      </c>
      <c r="C65" s="20"/>
      <c r="E65" s="49">
        <f>SUM(E57:E64)</f>
        <v>0</v>
      </c>
      <c r="G65" t="s">
        <v>99</v>
      </c>
      <c r="I65" s="53">
        <f>SUM(I57:I64)</f>
        <v>0</v>
      </c>
    </row>
    <row r="66" spans="1:9" s="55" customFormat="1" x14ac:dyDescent="0.3"/>
    <row r="67" spans="1:9" ht="17.399999999999999" customHeight="1" x14ac:dyDescent="0.3">
      <c r="A67" s="174">
        <v>45748</v>
      </c>
      <c r="C67" s="20"/>
      <c r="E67" s="44">
        <f t="shared" ref="E67:E72" si="3">SUM(C67:D67)</f>
        <v>0</v>
      </c>
      <c r="H67" s="58"/>
      <c r="I67" s="20"/>
    </row>
    <row r="68" spans="1:9" ht="17.399999999999999" customHeight="1" x14ac:dyDescent="0.3">
      <c r="A68" s="174"/>
      <c r="C68" s="20"/>
      <c r="E68" s="44">
        <f t="shared" si="3"/>
        <v>0</v>
      </c>
      <c r="H68" s="58"/>
      <c r="I68" s="20"/>
    </row>
    <row r="69" spans="1:9" ht="17.399999999999999" customHeight="1" x14ac:dyDescent="0.3">
      <c r="A69" s="174"/>
      <c r="C69" s="20"/>
      <c r="E69" s="44">
        <f t="shared" si="3"/>
        <v>0</v>
      </c>
      <c r="H69" s="58"/>
      <c r="I69" s="20"/>
    </row>
    <row r="70" spans="1:9" ht="17.399999999999999" customHeight="1" x14ac:dyDescent="0.3">
      <c r="A70" s="174"/>
      <c r="C70" s="20"/>
      <c r="E70" s="44">
        <f t="shared" si="3"/>
        <v>0</v>
      </c>
      <c r="H70" s="58"/>
      <c r="I70" s="20"/>
    </row>
    <row r="71" spans="1:9" ht="17.399999999999999" customHeight="1" x14ac:dyDescent="0.3">
      <c r="A71" s="174"/>
      <c r="C71" s="20"/>
      <c r="E71" s="44">
        <f t="shared" si="3"/>
        <v>0</v>
      </c>
      <c r="H71" s="58"/>
      <c r="I71" s="20"/>
    </row>
    <row r="72" spans="1:9" ht="17.399999999999999" customHeight="1" x14ac:dyDescent="0.3">
      <c r="A72" s="174"/>
      <c r="E72" s="44">
        <f t="shared" si="3"/>
        <v>0</v>
      </c>
      <c r="H72" s="58"/>
      <c r="I72" s="20"/>
    </row>
    <row r="73" spans="1:9" ht="17.399999999999999" customHeight="1" x14ac:dyDescent="0.3">
      <c r="A73" s="174"/>
      <c r="C73" s="20"/>
      <c r="E73" s="44"/>
      <c r="H73" s="58"/>
      <c r="I73" s="20"/>
    </row>
    <row r="74" spans="1:9" x14ac:dyDescent="0.3">
      <c r="A74" s="170"/>
      <c r="C74" s="20"/>
      <c r="E74" s="48"/>
    </row>
    <row r="75" spans="1:9" x14ac:dyDescent="0.3">
      <c r="A75" s="170"/>
      <c r="B75" t="s">
        <v>93</v>
      </c>
      <c r="C75" s="20"/>
      <c r="E75" s="49">
        <f>SUM(E67:E74)</f>
        <v>0</v>
      </c>
      <c r="G75" t="s">
        <v>100</v>
      </c>
      <c r="I75" s="53">
        <f>SUM(I67:I74)</f>
        <v>0</v>
      </c>
    </row>
    <row r="76" spans="1:9" s="55" customFormat="1" x14ac:dyDescent="0.3"/>
    <row r="77" spans="1:9" ht="17.399999999999999" customHeight="1" x14ac:dyDescent="0.3">
      <c r="A77" s="174">
        <v>45778</v>
      </c>
      <c r="C77" s="20"/>
      <c r="E77" s="44">
        <f t="shared" ref="E77:E82" si="4">SUM(C77:D77)</f>
        <v>0</v>
      </c>
      <c r="H77" s="88"/>
      <c r="I77" s="20"/>
    </row>
    <row r="78" spans="1:9" ht="17.399999999999999" customHeight="1" x14ac:dyDescent="0.3">
      <c r="A78" s="174"/>
      <c r="B78" t="s">
        <v>180</v>
      </c>
      <c r="C78" s="20">
        <v>1</v>
      </c>
      <c r="E78" s="44">
        <f t="shared" si="4"/>
        <v>1</v>
      </c>
      <c r="H78" s="88"/>
      <c r="I78" s="20"/>
    </row>
    <row r="79" spans="1:9" ht="17.399999999999999" customHeight="1" x14ac:dyDescent="0.3">
      <c r="A79" s="174"/>
      <c r="C79" s="20"/>
      <c r="E79" s="44">
        <f t="shared" si="4"/>
        <v>0</v>
      </c>
      <c r="H79" s="88"/>
      <c r="I79" s="20"/>
    </row>
    <row r="80" spans="1:9" ht="17.399999999999999" customHeight="1" x14ac:dyDescent="0.3">
      <c r="A80" s="174"/>
      <c r="C80" s="20"/>
      <c r="E80" s="44">
        <f t="shared" si="4"/>
        <v>0</v>
      </c>
      <c r="H80" s="88"/>
      <c r="I80" s="20"/>
    </row>
    <row r="81" spans="1:11" ht="17.399999999999999" customHeight="1" x14ac:dyDescent="0.3">
      <c r="A81" s="174"/>
      <c r="C81" s="20"/>
      <c r="E81" s="44">
        <f t="shared" si="4"/>
        <v>0</v>
      </c>
      <c r="H81" s="88"/>
      <c r="I81" s="20"/>
    </row>
    <row r="82" spans="1:11" ht="17.399999999999999" customHeight="1" x14ac:dyDescent="0.3">
      <c r="A82" s="174"/>
      <c r="E82" s="44">
        <f t="shared" si="4"/>
        <v>0</v>
      </c>
      <c r="H82" s="88"/>
      <c r="I82" s="20"/>
    </row>
    <row r="83" spans="1:11" ht="17.399999999999999" customHeight="1" x14ac:dyDescent="0.3">
      <c r="A83" s="174"/>
      <c r="C83" s="20"/>
      <c r="E83" s="44"/>
      <c r="H83" s="88"/>
      <c r="I83" s="20"/>
    </row>
    <row r="84" spans="1:11" x14ac:dyDescent="0.3">
      <c r="A84" s="170"/>
      <c r="C84" s="20"/>
      <c r="E84" s="48"/>
      <c r="H84" s="83"/>
      <c r="I84" s="20"/>
    </row>
    <row r="85" spans="1:11" x14ac:dyDescent="0.3">
      <c r="A85" s="170"/>
      <c r="B85" t="s">
        <v>118</v>
      </c>
      <c r="C85" s="20"/>
      <c r="E85" s="49">
        <f>SUM(E77:E84)</f>
        <v>1</v>
      </c>
      <c r="G85" t="s">
        <v>101</v>
      </c>
      <c r="H85" s="83"/>
      <c r="I85" s="53">
        <f>SUM(I77:I84)</f>
        <v>0</v>
      </c>
      <c r="K85" s="55"/>
    </row>
    <row r="86" spans="1:11" s="55" customFormat="1" x14ac:dyDescent="0.3">
      <c r="K86"/>
    </row>
    <row r="87" spans="1:11" ht="17.399999999999999" customHeight="1" x14ac:dyDescent="0.3">
      <c r="A87" s="174">
        <v>45809</v>
      </c>
      <c r="C87" s="20"/>
      <c r="E87" s="44">
        <f t="shared" ref="E87:E92" si="5">SUM(C87:D87)</f>
        <v>0</v>
      </c>
      <c r="H87" s="83"/>
      <c r="I87" s="20"/>
    </row>
    <row r="88" spans="1:11" ht="17.399999999999999" customHeight="1" x14ac:dyDescent="0.3">
      <c r="A88" s="174"/>
      <c r="B88" t="s">
        <v>180</v>
      </c>
      <c r="C88" s="20">
        <v>60</v>
      </c>
      <c r="E88" s="44">
        <f t="shared" si="5"/>
        <v>60</v>
      </c>
      <c r="H88" s="83"/>
      <c r="I88" s="20"/>
    </row>
    <row r="89" spans="1:11" ht="17.399999999999999" customHeight="1" x14ac:dyDescent="0.3">
      <c r="A89" s="174"/>
      <c r="B89" t="s">
        <v>180</v>
      </c>
      <c r="C89" s="20">
        <v>15</v>
      </c>
      <c r="E89" s="44">
        <f t="shared" si="5"/>
        <v>15</v>
      </c>
      <c r="H89" s="83"/>
      <c r="I89" s="20"/>
    </row>
    <row r="90" spans="1:11" ht="17.399999999999999" customHeight="1" x14ac:dyDescent="0.3">
      <c r="A90" s="174"/>
      <c r="C90" s="20"/>
      <c r="E90" s="44">
        <f t="shared" si="5"/>
        <v>0</v>
      </c>
      <c r="H90" s="83"/>
      <c r="I90" s="20"/>
    </row>
    <row r="91" spans="1:11" ht="17.399999999999999" customHeight="1" x14ac:dyDescent="0.3">
      <c r="A91" s="174"/>
      <c r="C91" s="20"/>
      <c r="E91" s="44">
        <f t="shared" si="5"/>
        <v>0</v>
      </c>
      <c r="H91" s="83"/>
      <c r="I91" s="20"/>
    </row>
    <row r="92" spans="1:11" ht="17.399999999999999" customHeight="1" x14ac:dyDescent="0.3">
      <c r="A92" s="174"/>
      <c r="C92" s="20"/>
      <c r="E92" s="44">
        <f t="shared" si="5"/>
        <v>0</v>
      </c>
      <c r="H92" s="83"/>
      <c r="I92" s="20"/>
    </row>
    <row r="93" spans="1:11" ht="17.399999999999999" customHeight="1" x14ac:dyDescent="0.3">
      <c r="A93" s="174"/>
      <c r="C93" s="20"/>
      <c r="E93" s="44"/>
      <c r="H93" s="83"/>
      <c r="I93" s="20"/>
    </row>
    <row r="94" spans="1:11" x14ac:dyDescent="0.3">
      <c r="A94" s="170"/>
      <c r="C94" s="20"/>
      <c r="E94" s="48"/>
    </row>
    <row r="95" spans="1:11" x14ac:dyDescent="0.3">
      <c r="A95" s="170"/>
      <c r="B95" t="s">
        <v>119</v>
      </c>
      <c r="C95" s="20"/>
      <c r="E95" s="49">
        <f>SUM(E87:E94)</f>
        <v>75</v>
      </c>
      <c r="G95" t="s">
        <v>102</v>
      </c>
      <c r="I95" s="53">
        <f>SUM(I87:I94)</f>
        <v>0</v>
      </c>
      <c r="K95" s="55"/>
    </row>
    <row r="96" spans="1:11" s="55" customFormat="1" x14ac:dyDescent="0.3"/>
    <row r="97" spans="1:9" ht="17.399999999999999" customHeight="1" x14ac:dyDescent="0.3">
      <c r="A97" s="174">
        <v>45839</v>
      </c>
      <c r="B97" t="s">
        <v>180</v>
      </c>
      <c r="C97" s="20">
        <v>15</v>
      </c>
      <c r="E97" s="44">
        <f>SUM(C97:D97)</f>
        <v>15</v>
      </c>
      <c r="G97" s="40"/>
      <c r="H97" s="78"/>
      <c r="I97" s="20"/>
    </row>
    <row r="98" spans="1:9" x14ac:dyDescent="0.3">
      <c r="A98" s="170"/>
      <c r="H98" s="58"/>
      <c r="I98" s="20"/>
    </row>
    <row r="99" spans="1:9" x14ac:dyDescent="0.3">
      <c r="A99" s="170"/>
      <c r="C99" s="20"/>
      <c r="E99" s="44">
        <f>SUM(C99:D99)</f>
        <v>0</v>
      </c>
      <c r="H99" s="58"/>
      <c r="I99" s="20"/>
    </row>
    <row r="100" spans="1:9" x14ac:dyDescent="0.3">
      <c r="A100" s="170"/>
      <c r="C100" s="20"/>
      <c r="E100" s="44">
        <f>SUM(C100:D100)</f>
        <v>0</v>
      </c>
      <c r="H100" s="58"/>
      <c r="I100" s="20"/>
    </row>
    <row r="101" spans="1:9" x14ac:dyDescent="0.3">
      <c r="A101" s="170"/>
      <c r="C101" s="20"/>
      <c r="E101" s="44">
        <f>SUM(C101:D101)</f>
        <v>0</v>
      </c>
      <c r="H101" s="58"/>
      <c r="I101" s="20"/>
    </row>
    <row r="102" spans="1:9" x14ac:dyDescent="0.3">
      <c r="A102" s="170"/>
      <c r="C102" s="20"/>
      <c r="E102" s="44">
        <f>SUM(C102:D102)</f>
        <v>0</v>
      </c>
      <c r="I102" s="20"/>
    </row>
    <row r="103" spans="1:9" x14ac:dyDescent="0.3">
      <c r="A103" s="170"/>
      <c r="C103" s="20"/>
      <c r="E103" s="44"/>
      <c r="I103" s="20"/>
    </row>
    <row r="104" spans="1:9" x14ac:dyDescent="0.3">
      <c r="A104" s="170"/>
      <c r="C104" s="20"/>
      <c r="E104" s="48"/>
    </row>
    <row r="105" spans="1:9" x14ac:dyDescent="0.3">
      <c r="A105" s="170"/>
      <c r="B105" t="s">
        <v>120</v>
      </c>
      <c r="C105" s="20"/>
      <c r="E105" s="49">
        <f>SUM(E97:E104)</f>
        <v>15</v>
      </c>
      <c r="G105" t="s">
        <v>103</v>
      </c>
      <c r="I105" s="53">
        <f>SUM(I97:I104)</f>
        <v>0</v>
      </c>
    </row>
    <row r="106" spans="1:9" s="55" customFormat="1" x14ac:dyDescent="0.3"/>
    <row r="107" spans="1:9" ht="17.399999999999999" customHeight="1" x14ac:dyDescent="0.3">
      <c r="A107" s="174">
        <v>45870</v>
      </c>
      <c r="B107" t="s">
        <v>180</v>
      </c>
      <c r="C107" s="20">
        <v>15</v>
      </c>
      <c r="E107" s="44">
        <f>SUM(C107:D107)</f>
        <v>15</v>
      </c>
      <c r="I107" s="20"/>
    </row>
    <row r="108" spans="1:9" x14ac:dyDescent="0.3">
      <c r="A108" s="170"/>
      <c r="I108" s="20"/>
    </row>
    <row r="109" spans="1:9" x14ac:dyDescent="0.3">
      <c r="A109" s="170"/>
      <c r="C109" s="20"/>
      <c r="E109" s="44">
        <f>SUM(C109:D109)</f>
        <v>0</v>
      </c>
      <c r="I109" s="20"/>
    </row>
    <row r="110" spans="1:9" x14ac:dyDescent="0.3">
      <c r="A110" s="170"/>
      <c r="C110" s="20"/>
      <c r="E110" s="44">
        <f>SUM(C110:D110)</f>
        <v>0</v>
      </c>
      <c r="I110" s="20"/>
    </row>
    <row r="111" spans="1:9" x14ac:dyDescent="0.3">
      <c r="A111" s="170"/>
      <c r="C111" s="20"/>
      <c r="E111" s="44">
        <f>SUM(C111:D111)</f>
        <v>0</v>
      </c>
      <c r="I111" s="20"/>
    </row>
    <row r="112" spans="1:9" x14ac:dyDescent="0.3">
      <c r="A112" s="170"/>
      <c r="C112" s="20"/>
      <c r="E112" s="44">
        <f>SUM(C112:D112)</f>
        <v>0</v>
      </c>
      <c r="I112" s="20"/>
    </row>
    <row r="113" spans="1:9" x14ac:dyDescent="0.3">
      <c r="A113" s="170"/>
      <c r="C113" s="20"/>
      <c r="E113" s="44"/>
      <c r="I113" s="20"/>
    </row>
    <row r="114" spans="1:9" x14ac:dyDescent="0.3">
      <c r="A114" s="170"/>
      <c r="C114" s="20"/>
      <c r="E114" s="48"/>
    </row>
    <row r="115" spans="1:9" x14ac:dyDescent="0.3">
      <c r="A115" s="170"/>
      <c r="B115" t="s">
        <v>121</v>
      </c>
      <c r="C115" s="20"/>
      <c r="E115" s="49">
        <f>SUM(E107:E114)</f>
        <v>15</v>
      </c>
      <c r="G115" t="s">
        <v>104</v>
      </c>
      <c r="I115" s="53">
        <f>SUM(I107:I114)</f>
        <v>0</v>
      </c>
    </row>
    <row r="116" spans="1:9" s="55" customFormat="1" x14ac:dyDescent="0.3"/>
    <row r="118" spans="1:9" s="59" customFormat="1" x14ac:dyDescent="0.3">
      <c r="A118" s="59" t="s">
        <v>79</v>
      </c>
      <c r="E118" s="61">
        <f>E13+E21+E29+E38+E47+E55+E65+E75+E85+E95+E105+E115</f>
        <v>137</v>
      </c>
      <c r="I118" s="61">
        <f>I13+I21+I29+I38+I47+I55+I65+I75+I85+I95+I105+I115</f>
        <v>0</v>
      </c>
    </row>
  </sheetData>
  <mergeCells count="15">
    <mergeCell ref="A23:A29"/>
    <mergeCell ref="A31:A38"/>
    <mergeCell ref="A40:A47"/>
    <mergeCell ref="A1:I1"/>
    <mergeCell ref="B3:E3"/>
    <mergeCell ref="G3:I3"/>
    <mergeCell ref="A5:A13"/>
    <mergeCell ref="A15:A21"/>
    <mergeCell ref="A107:A115"/>
    <mergeCell ref="A49:A55"/>
    <mergeCell ref="A57:A65"/>
    <mergeCell ref="A67:A75"/>
    <mergeCell ref="A77:A85"/>
    <mergeCell ref="A87:A95"/>
    <mergeCell ref="A97:A105"/>
  </mergeCells>
  <pageMargins left="0.7" right="0.7" top="0.75" bottom="0.75" header="0.3" footer="0.3"/>
  <pageSetup scale="64"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H6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23" sqref="H23"/>
    </sheetView>
  </sheetViews>
  <sheetFormatPr defaultColWidth="8.6640625" defaultRowHeight="14.4" x14ac:dyDescent="0.3"/>
  <cols>
    <col min="1" max="1" width="16.5546875" customWidth="1"/>
    <col min="2" max="2" width="39.33203125" customWidth="1"/>
    <col min="3" max="3" width="11.109375" style="115" customWidth="1"/>
    <col min="4" max="4" width="12.44140625" bestFit="1" customWidth="1"/>
    <col min="6" max="6" width="27.6640625" customWidth="1"/>
    <col min="7" max="7" width="15.33203125" customWidth="1"/>
    <col min="8" max="8" width="14.33203125" customWidth="1"/>
  </cols>
  <sheetData>
    <row r="1" spans="1:8" ht="24" customHeight="1" x14ac:dyDescent="0.3">
      <c r="A1" s="173" t="s">
        <v>157</v>
      </c>
      <c r="B1" s="173"/>
      <c r="C1" s="173"/>
      <c r="D1" s="173"/>
      <c r="E1" s="173"/>
      <c r="F1" s="173"/>
      <c r="G1" s="173"/>
      <c r="H1" s="173"/>
    </row>
    <row r="2" spans="1:8" ht="24" customHeight="1" x14ac:dyDescent="0.35">
      <c r="A2" s="54"/>
      <c r="B2" s="54"/>
      <c r="C2" s="113"/>
      <c r="D2" s="54"/>
      <c r="E2" s="54"/>
      <c r="F2" s="54"/>
    </row>
    <row r="3" spans="1:8" ht="15.6" x14ac:dyDescent="0.3">
      <c r="B3" s="171" t="s">
        <v>59</v>
      </c>
      <c r="C3" s="171"/>
      <c r="D3" s="171"/>
      <c r="F3" s="172" t="s">
        <v>68</v>
      </c>
      <c r="G3" s="172"/>
      <c r="H3" s="172"/>
    </row>
    <row r="4" spans="1:8" s="2" customFormat="1" ht="31.2" x14ac:dyDescent="0.3">
      <c r="A4" s="50"/>
      <c r="B4" s="51" t="s">
        <v>58</v>
      </c>
      <c r="C4" s="114" t="s">
        <v>0</v>
      </c>
      <c r="D4" s="51" t="s">
        <v>63</v>
      </c>
      <c r="F4" s="51" t="s">
        <v>58</v>
      </c>
      <c r="G4" s="52" t="s">
        <v>67</v>
      </c>
      <c r="H4" s="51" t="s">
        <v>66</v>
      </c>
    </row>
    <row r="5" spans="1:8" ht="17.399999999999999" customHeight="1" x14ac:dyDescent="0.3">
      <c r="A5" s="174">
        <v>45536</v>
      </c>
      <c r="B5" t="s">
        <v>197</v>
      </c>
      <c r="C5" s="115">
        <v>45540</v>
      </c>
      <c r="D5" s="44">
        <v>3375</v>
      </c>
      <c r="G5" s="58"/>
      <c r="H5" s="20"/>
    </row>
    <row r="6" spans="1:8" ht="17.399999999999999" customHeight="1" x14ac:dyDescent="0.3">
      <c r="A6" s="174"/>
      <c r="B6" s="2"/>
      <c r="D6" s="44"/>
      <c r="G6" s="58"/>
      <c r="H6" s="20"/>
    </row>
    <row r="7" spans="1:8" ht="17.399999999999999" customHeight="1" x14ac:dyDescent="0.3">
      <c r="A7" s="174"/>
      <c r="B7" s="2"/>
      <c r="D7" s="44"/>
      <c r="G7" s="58"/>
      <c r="H7" s="20"/>
    </row>
    <row r="8" spans="1:8" x14ac:dyDescent="0.3">
      <c r="A8" s="170"/>
      <c r="B8" s="2"/>
      <c r="D8" s="44"/>
    </row>
    <row r="9" spans="1:8" x14ac:dyDescent="0.3">
      <c r="A9" s="170"/>
      <c r="B9" t="s">
        <v>106</v>
      </c>
      <c r="D9" s="49">
        <f>SUM(D5:D8)</f>
        <v>3375</v>
      </c>
      <c r="F9" t="s">
        <v>106</v>
      </c>
      <c r="H9" s="53">
        <f>SUM(H5:H8)</f>
        <v>0</v>
      </c>
    </row>
    <row r="10" spans="1:8" s="55" customFormat="1" x14ac:dyDescent="0.3">
      <c r="C10" s="116"/>
    </row>
    <row r="11" spans="1:8" ht="17.399999999999999" customHeight="1" x14ac:dyDescent="0.3">
      <c r="A11" s="174">
        <v>45566</v>
      </c>
      <c r="D11" s="44"/>
      <c r="H11" s="20"/>
    </row>
    <row r="12" spans="1:8" x14ac:dyDescent="0.3">
      <c r="A12" s="170"/>
      <c r="D12" s="44"/>
    </row>
    <row r="13" spans="1:8" x14ac:dyDescent="0.3">
      <c r="A13" s="170"/>
      <c r="B13" t="s">
        <v>107</v>
      </c>
      <c r="D13" s="49">
        <f>SUM(D11:D12)</f>
        <v>0</v>
      </c>
      <c r="F13" t="s">
        <v>107</v>
      </c>
      <c r="H13" s="53">
        <f>SUM(H11:H12)</f>
        <v>0</v>
      </c>
    </row>
    <row r="14" spans="1:8" s="55" customFormat="1" x14ac:dyDescent="0.3">
      <c r="C14" s="116"/>
    </row>
    <row r="15" spans="1:8" ht="17.399999999999999" customHeight="1" x14ac:dyDescent="0.3">
      <c r="A15" s="174">
        <v>45597</v>
      </c>
      <c r="B15" t="s">
        <v>511</v>
      </c>
      <c r="C15" s="115">
        <v>45621</v>
      </c>
      <c r="D15" s="44">
        <v>1315</v>
      </c>
      <c r="H15" s="20"/>
    </row>
    <row r="16" spans="1:8" ht="17.399999999999999" customHeight="1" x14ac:dyDescent="0.3">
      <c r="A16" s="174"/>
      <c r="B16" t="s">
        <v>481</v>
      </c>
      <c r="C16" s="115">
        <v>45621</v>
      </c>
      <c r="D16" s="44">
        <v>100</v>
      </c>
      <c r="H16" s="20"/>
    </row>
    <row r="17" spans="1:8" x14ac:dyDescent="0.3">
      <c r="A17" s="170"/>
      <c r="D17" s="44"/>
    </row>
    <row r="18" spans="1:8" x14ac:dyDescent="0.3">
      <c r="A18" s="170"/>
      <c r="B18" t="s">
        <v>108</v>
      </c>
      <c r="D18" s="49">
        <f>SUM(D15:D17)</f>
        <v>1415</v>
      </c>
      <c r="F18" t="s">
        <v>108</v>
      </c>
      <c r="H18" s="53">
        <f>SUM(H15:H17)</f>
        <v>0</v>
      </c>
    </row>
    <row r="19" spans="1:8" s="55" customFormat="1" x14ac:dyDescent="0.3">
      <c r="C19" s="116"/>
    </row>
    <row r="20" spans="1:8" ht="17.399999999999999" customHeight="1" x14ac:dyDescent="0.3">
      <c r="A20" s="174">
        <v>45627</v>
      </c>
      <c r="B20" t="s">
        <v>510</v>
      </c>
      <c r="C20" s="115">
        <v>45994</v>
      </c>
      <c r="D20" s="44">
        <v>1233</v>
      </c>
      <c r="H20" s="20"/>
    </row>
    <row r="21" spans="1:8" x14ac:dyDescent="0.3">
      <c r="A21" s="174"/>
      <c r="B21" t="s">
        <v>479</v>
      </c>
      <c r="C21" s="115">
        <v>46007</v>
      </c>
      <c r="D21" s="44">
        <v>500</v>
      </c>
    </row>
    <row r="22" spans="1:8" x14ac:dyDescent="0.3">
      <c r="A22" s="170"/>
      <c r="B22" t="s">
        <v>80</v>
      </c>
      <c r="C22" s="115">
        <v>45650</v>
      </c>
      <c r="D22" s="48">
        <v>28.91</v>
      </c>
    </row>
    <row r="23" spans="1:8" x14ac:dyDescent="0.3">
      <c r="A23" s="170"/>
      <c r="D23" s="48"/>
    </row>
    <row r="24" spans="1:8" x14ac:dyDescent="0.3">
      <c r="A24" s="170"/>
      <c r="B24" t="s">
        <v>109</v>
      </c>
      <c r="D24" s="49">
        <f>SUM(D20:D22)</f>
        <v>1761.91</v>
      </c>
      <c r="F24" t="s">
        <v>109</v>
      </c>
      <c r="H24" s="53">
        <f>SUM(H20:H22)</f>
        <v>0</v>
      </c>
    </row>
    <row r="25" spans="1:8" s="55" customFormat="1" x14ac:dyDescent="0.3">
      <c r="C25" s="116"/>
    </row>
    <row r="26" spans="1:8" ht="17.399999999999999" customHeight="1" x14ac:dyDescent="0.3">
      <c r="A26" s="174">
        <v>45658</v>
      </c>
      <c r="D26" s="44"/>
      <c r="H26" s="20"/>
    </row>
    <row r="27" spans="1:8" x14ac:dyDescent="0.3">
      <c r="A27" s="170"/>
      <c r="D27" s="44"/>
    </row>
    <row r="28" spans="1:8" x14ac:dyDescent="0.3">
      <c r="A28" s="170"/>
      <c r="B28" t="s">
        <v>110</v>
      </c>
      <c r="D28" s="49">
        <f>SUM(D26:D27)</f>
        <v>0</v>
      </c>
      <c r="F28" t="s">
        <v>110</v>
      </c>
      <c r="H28" s="53">
        <f>SUM(H26:H27)</f>
        <v>0</v>
      </c>
    </row>
    <row r="29" spans="1:8" s="55" customFormat="1" x14ac:dyDescent="0.3">
      <c r="C29" s="116"/>
    </row>
    <row r="30" spans="1:8" ht="17.399999999999999" customHeight="1" x14ac:dyDescent="0.3">
      <c r="A30" s="174">
        <v>45689</v>
      </c>
      <c r="B30" t="s">
        <v>480</v>
      </c>
      <c r="C30" s="115">
        <v>45712</v>
      </c>
      <c r="D30" s="44">
        <v>765</v>
      </c>
      <c r="H30" s="20"/>
    </row>
    <row r="31" spans="1:8" x14ac:dyDescent="0.3">
      <c r="A31" s="170"/>
      <c r="D31" s="44"/>
      <c r="H31" s="20"/>
    </row>
    <row r="32" spans="1:8" x14ac:dyDescent="0.3">
      <c r="A32" s="170"/>
      <c r="D32" s="48"/>
    </row>
    <row r="33" spans="1:8" x14ac:dyDescent="0.3">
      <c r="A33" s="170"/>
      <c r="B33" t="s">
        <v>111</v>
      </c>
      <c r="D33" s="49">
        <f>SUM(D30:D32)</f>
        <v>765</v>
      </c>
      <c r="F33" t="s">
        <v>111</v>
      </c>
      <c r="H33" s="53">
        <f>SUM(H30:H32)</f>
        <v>0</v>
      </c>
    </row>
    <row r="34" spans="1:8" s="55" customFormat="1" x14ac:dyDescent="0.3">
      <c r="C34" s="116"/>
    </row>
    <row r="35" spans="1:8" ht="17.399999999999999" customHeight="1" x14ac:dyDescent="0.3">
      <c r="A35" s="174">
        <v>45717</v>
      </c>
      <c r="B35" t="s">
        <v>197</v>
      </c>
      <c r="C35" s="115">
        <v>45721</v>
      </c>
      <c r="D35" s="44">
        <v>1125</v>
      </c>
      <c r="H35" s="20"/>
    </row>
    <row r="36" spans="1:8" x14ac:dyDescent="0.3">
      <c r="A36" s="170"/>
      <c r="B36" t="s">
        <v>482</v>
      </c>
      <c r="C36" s="115">
        <v>45735</v>
      </c>
      <c r="D36" s="44">
        <v>1643</v>
      </c>
      <c r="H36" s="20"/>
    </row>
    <row r="37" spans="1:8" x14ac:dyDescent="0.3">
      <c r="A37" s="170"/>
      <c r="B37" t="s">
        <v>483</v>
      </c>
      <c r="C37" s="115">
        <v>45740</v>
      </c>
      <c r="D37" s="44">
        <v>500</v>
      </c>
    </row>
    <row r="38" spans="1:8" x14ac:dyDescent="0.3">
      <c r="A38" s="170"/>
      <c r="D38" s="44"/>
    </row>
    <row r="39" spans="1:8" x14ac:dyDescent="0.3">
      <c r="A39" s="170"/>
      <c r="B39" t="s">
        <v>112</v>
      </c>
      <c r="D39" s="49">
        <f>SUM(D35:D37)</f>
        <v>3268</v>
      </c>
      <c r="F39" t="s">
        <v>112</v>
      </c>
      <c r="H39" s="53">
        <f>SUM(H35:H37)</f>
        <v>0</v>
      </c>
    </row>
    <row r="40" spans="1:8" s="55" customFormat="1" x14ac:dyDescent="0.3">
      <c r="C40" s="116"/>
    </row>
    <row r="41" spans="1:8" ht="17.399999999999999" customHeight="1" x14ac:dyDescent="0.3">
      <c r="A41" s="174">
        <v>45748</v>
      </c>
      <c r="D41" s="44"/>
      <c r="G41" s="58"/>
      <c r="H41" s="20"/>
    </row>
    <row r="42" spans="1:8" x14ac:dyDescent="0.3">
      <c r="A42" s="170"/>
      <c r="D42" s="48"/>
    </row>
    <row r="43" spans="1:8" x14ac:dyDescent="0.3">
      <c r="A43" s="170"/>
      <c r="B43" t="s">
        <v>113</v>
      </c>
      <c r="D43" s="49">
        <f>SUM(D41:D42)</f>
        <v>0</v>
      </c>
      <c r="F43" t="s">
        <v>113</v>
      </c>
      <c r="H43" s="53">
        <f>SUM(H41:H42)</f>
        <v>0</v>
      </c>
    </row>
    <row r="44" spans="1:8" s="55" customFormat="1" x14ac:dyDescent="0.3">
      <c r="C44" s="116"/>
    </row>
    <row r="45" spans="1:8" ht="17.399999999999999" customHeight="1" x14ac:dyDescent="0.3">
      <c r="A45" s="174">
        <v>45778</v>
      </c>
      <c r="B45" t="s">
        <v>485</v>
      </c>
      <c r="C45" s="115">
        <v>45804</v>
      </c>
      <c r="D45" s="44">
        <v>117.6</v>
      </c>
      <c r="H45" s="20"/>
    </row>
    <row r="46" spans="1:8" x14ac:dyDescent="0.3">
      <c r="A46" s="170"/>
      <c r="D46" s="44"/>
    </row>
    <row r="47" spans="1:8" x14ac:dyDescent="0.3">
      <c r="A47" s="170"/>
      <c r="B47" t="s">
        <v>114</v>
      </c>
      <c r="D47" s="49">
        <f>SUM(D45:D46)</f>
        <v>117.6</v>
      </c>
      <c r="F47" t="s">
        <v>114</v>
      </c>
      <c r="H47" s="53">
        <f>SUM(H45:H46)</f>
        <v>0</v>
      </c>
    </row>
    <row r="48" spans="1:8" s="55" customFormat="1" x14ac:dyDescent="0.3">
      <c r="C48" s="116"/>
    </row>
    <row r="49" spans="1:8" ht="17.399999999999999" customHeight="1" x14ac:dyDescent="0.3">
      <c r="A49" s="174">
        <v>45809</v>
      </c>
      <c r="B49" t="s">
        <v>484</v>
      </c>
      <c r="C49" s="115">
        <v>45826</v>
      </c>
      <c r="D49" s="44">
        <v>817</v>
      </c>
      <c r="H49" s="20"/>
    </row>
    <row r="50" spans="1:8" x14ac:dyDescent="0.3">
      <c r="A50" s="170"/>
      <c r="B50" t="s">
        <v>197</v>
      </c>
      <c r="C50" s="115">
        <v>45827</v>
      </c>
      <c r="D50" s="44">
        <v>4590</v>
      </c>
    </row>
    <row r="51" spans="1:8" x14ac:dyDescent="0.3">
      <c r="A51" s="170"/>
      <c r="D51" s="44"/>
    </row>
    <row r="52" spans="1:8" x14ac:dyDescent="0.3">
      <c r="A52" s="170"/>
      <c r="B52" t="s">
        <v>115</v>
      </c>
      <c r="D52" s="49">
        <f>SUM(D49:D50)</f>
        <v>5407</v>
      </c>
      <c r="F52" t="s">
        <v>115</v>
      </c>
      <c r="H52" s="53">
        <f>SUM(H49:H50)</f>
        <v>0</v>
      </c>
    </row>
    <row r="53" spans="1:8" s="55" customFormat="1" x14ac:dyDescent="0.3">
      <c r="C53" s="116"/>
    </row>
    <row r="54" spans="1:8" ht="17.399999999999999" customHeight="1" x14ac:dyDescent="0.3">
      <c r="A54" s="174">
        <v>45839</v>
      </c>
      <c r="B54" t="s">
        <v>272</v>
      </c>
      <c r="C54" s="115">
        <v>45839</v>
      </c>
      <c r="D54" s="44">
        <v>200</v>
      </c>
      <c r="H54" s="20"/>
    </row>
    <row r="55" spans="1:8" ht="17.399999999999999" customHeight="1" x14ac:dyDescent="0.3">
      <c r="A55" s="174"/>
      <c r="B55" t="s">
        <v>486</v>
      </c>
      <c r="C55" s="115">
        <v>45859</v>
      </c>
      <c r="D55" s="44">
        <v>1</v>
      </c>
      <c r="H55" s="20"/>
    </row>
    <row r="56" spans="1:8" x14ac:dyDescent="0.3">
      <c r="A56" s="170"/>
      <c r="B56" t="s">
        <v>486</v>
      </c>
      <c r="C56" s="115">
        <v>45859</v>
      </c>
      <c r="D56" s="44">
        <v>1463.25</v>
      </c>
    </row>
    <row r="57" spans="1:8" x14ac:dyDescent="0.3">
      <c r="A57" s="170"/>
      <c r="D57" s="44"/>
    </row>
    <row r="58" spans="1:8" x14ac:dyDescent="0.3">
      <c r="A58" s="170"/>
      <c r="B58" t="s">
        <v>116</v>
      </c>
      <c r="D58" s="49">
        <f>SUM(D54:D56)</f>
        <v>1664.25</v>
      </c>
      <c r="F58" t="s">
        <v>116</v>
      </c>
      <c r="H58" s="53">
        <f>SUM(H54:H56)</f>
        <v>0</v>
      </c>
    </row>
    <row r="59" spans="1:8" s="55" customFormat="1" x14ac:dyDescent="0.3">
      <c r="C59" s="116"/>
    </row>
    <row r="60" spans="1:8" ht="17.399999999999999" customHeight="1" x14ac:dyDescent="0.3">
      <c r="A60" s="174">
        <v>45870</v>
      </c>
      <c r="D60" s="44"/>
      <c r="H60" s="20"/>
    </row>
    <row r="61" spans="1:8" x14ac:dyDescent="0.3">
      <c r="A61" s="170"/>
      <c r="D61" s="44"/>
      <c r="H61" s="20"/>
    </row>
    <row r="62" spans="1:8" x14ac:dyDescent="0.3">
      <c r="A62" s="170"/>
      <c r="D62" s="44"/>
      <c r="H62" s="20"/>
    </row>
    <row r="63" spans="1:8" x14ac:dyDescent="0.3">
      <c r="A63" s="170"/>
      <c r="D63" s="48"/>
    </row>
    <row r="64" spans="1:8" x14ac:dyDescent="0.3">
      <c r="A64" s="170"/>
      <c r="B64" t="s">
        <v>117</v>
      </c>
      <c r="D64" s="49">
        <f>SUM(D60:D63)</f>
        <v>0</v>
      </c>
      <c r="F64" t="s">
        <v>117</v>
      </c>
      <c r="H64" s="53">
        <f>SUM(H60:H63)</f>
        <v>0</v>
      </c>
    </row>
    <row r="65" spans="1:8" s="55" customFormat="1" x14ac:dyDescent="0.3">
      <c r="C65" s="116"/>
    </row>
    <row r="67" spans="1:8" s="59" customFormat="1" x14ac:dyDescent="0.3">
      <c r="A67" s="59" t="s">
        <v>79</v>
      </c>
      <c r="C67" s="117"/>
      <c r="D67" s="61">
        <f>D9+D13+D18+D24+D28+D33+D39+D43+D47+D52+D58+D64</f>
        <v>17773.760000000002</v>
      </c>
      <c r="H67" s="61">
        <f>H9+H13+H18+H24+H28+H33+H39+H43+H47+H52+H58+H64</f>
        <v>0</v>
      </c>
    </row>
  </sheetData>
  <mergeCells count="15">
    <mergeCell ref="A15:A18"/>
    <mergeCell ref="A1:H1"/>
    <mergeCell ref="B3:D3"/>
    <mergeCell ref="F3:H3"/>
    <mergeCell ref="A5:A9"/>
    <mergeCell ref="A11:A13"/>
    <mergeCell ref="A49:A52"/>
    <mergeCell ref="A54:A58"/>
    <mergeCell ref="A60:A64"/>
    <mergeCell ref="A20:A24"/>
    <mergeCell ref="A26:A28"/>
    <mergeCell ref="A30:A33"/>
    <mergeCell ref="A35:A39"/>
    <mergeCell ref="A41:A43"/>
    <mergeCell ref="A45:A47"/>
  </mergeCells>
  <pageMargins left="0.7" right="0.7" top="0.75" bottom="0.75" header="0.3" footer="0.3"/>
  <pageSetup scale="62" orientation="portrait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34"/>
  <sheetViews>
    <sheetView topLeftCell="B1" workbookViewId="0">
      <selection activeCell="H32" sqref="H32"/>
    </sheetView>
  </sheetViews>
  <sheetFormatPr defaultColWidth="8.6640625" defaultRowHeight="14.4" x14ac:dyDescent="0.3"/>
  <cols>
    <col min="1" max="1" width="20.5546875" customWidth="1"/>
    <col min="2" max="2" width="27.44140625" customWidth="1"/>
    <col min="3" max="3" width="18.88671875" style="30" customWidth="1"/>
    <col min="4" max="4" width="11.33203125" customWidth="1"/>
    <col min="5" max="5" width="6.109375" customWidth="1"/>
    <col min="6" max="6" width="10.6640625" customWidth="1"/>
    <col min="7" max="7" width="39.21875" customWidth="1"/>
    <col min="8" max="8" width="18.44140625" style="30" customWidth="1"/>
    <col min="9" max="9" width="12.6640625" customWidth="1"/>
  </cols>
  <sheetData>
    <row r="1" spans="1:14" ht="28.35" customHeight="1" x14ac:dyDescent="0.3">
      <c r="A1" s="173" t="s">
        <v>273</v>
      </c>
      <c r="B1" s="173"/>
      <c r="C1" s="173"/>
      <c r="D1" s="173"/>
      <c r="E1" s="173"/>
      <c r="F1" s="173"/>
      <c r="G1" s="173"/>
      <c r="H1" s="173"/>
      <c r="I1" s="173"/>
    </row>
    <row r="2" spans="1:14" ht="18" x14ac:dyDescent="0.35">
      <c r="A2" s="54"/>
      <c r="B2" s="54"/>
      <c r="C2" s="54"/>
      <c r="D2" s="54"/>
      <c r="E2" s="54"/>
      <c r="F2" s="54"/>
      <c r="G2" s="54"/>
    </row>
    <row r="3" spans="1:14" ht="15.6" x14ac:dyDescent="0.3">
      <c r="B3" s="171" t="s">
        <v>59</v>
      </c>
      <c r="C3" s="171"/>
      <c r="D3" s="171"/>
      <c r="E3" s="46"/>
      <c r="G3" s="171" t="s">
        <v>68</v>
      </c>
      <c r="H3" s="171"/>
      <c r="I3" s="171"/>
    </row>
    <row r="4" spans="1:14" ht="40.35" customHeight="1" x14ac:dyDescent="0.3">
      <c r="A4" s="51" t="s">
        <v>0</v>
      </c>
      <c r="B4" s="51" t="s">
        <v>58</v>
      </c>
      <c r="C4" s="52" t="s">
        <v>275</v>
      </c>
      <c r="D4" s="51" t="s">
        <v>66</v>
      </c>
      <c r="E4" s="51"/>
      <c r="F4" s="51" t="s">
        <v>0</v>
      </c>
      <c r="G4" s="51" t="s">
        <v>58</v>
      </c>
      <c r="H4" s="52" t="s">
        <v>274</v>
      </c>
      <c r="I4" s="51" t="s">
        <v>66</v>
      </c>
    </row>
    <row r="5" spans="1:14" ht="15.6" x14ac:dyDescent="0.3">
      <c r="A5" s="66"/>
      <c r="C5" s="78"/>
      <c r="D5" s="47"/>
      <c r="E5" s="47"/>
      <c r="F5" s="115">
        <v>45559</v>
      </c>
      <c r="G5" t="s">
        <v>487</v>
      </c>
      <c r="H5" s="30" t="s">
        <v>247</v>
      </c>
      <c r="I5" s="44">
        <v>578.54999999999995</v>
      </c>
    </row>
    <row r="6" spans="1:14" ht="14.4" customHeight="1" x14ac:dyDescent="0.3">
      <c r="A6" s="45"/>
      <c r="C6" s="103"/>
      <c r="D6" s="44"/>
      <c r="E6" s="44"/>
      <c r="F6" s="115">
        <v>45565</v>
      </c>
      <c r="G6" t="s">
        <v>488</v>
      </c>
      <c r="H6" s="67" t="s">
        <v>247</v>
      </c>
      <c r="I6" s="44">
        <v>3801.91</v>
      </c>
      <c r="L6" s="16"/>
    </row>
    <row r="7" spans="1:14" ht="14.4" customHeight="1" x14ac:dyDescent="0.3">
      <c r="A7" s="45"/>
      <c r="C7" s="103"/>
      <c r="D7" s="44"/>
      <c r="E7" s="44"/>
      <c r="F7" s="115">
        <v>45636</v>
      </c>
      <c r="G7" t="s">
        <v>489</v>
      </c>
      <c r="H7" s="78" t="s">
        <v>247</v>
      </c>
      <c r="I7" s="105">
        <v>578.55999999999995</v>
      </c>
      <c r="N7" s="44"/>
    </row>
    <row r="8" spans="1:14" ht="14.4" customHeight="1" x14ac:dyDescent="0.3">
      <c r="A8" s="45"/>
      <c r="C8" s="103"/>
      <c r="D8" s="44"/>
      <c r="E8" s="44"/>
      <c r="F8" s="115">
        <v>45666</v>
      </c>
      <c r="G8" t="s">
        <v>490</v>
      </c>
      <c r="H8" s="78" t="s">
        <v>247</v>
      </c>
      <c r="I8" s="44">
        <v>150</v>
      </c>
      <c r="N8" s="44"/>
    </row>
    <row r="9" spans="1:14" ht="14.4" customHeight="1" x14ac:dyDescent="0.3">
      <c r="A9" s="45"/>
      <c r="C9" s="103"/>
      <c r="D9" s="44"/>
      <c r="E9" s="44"/>
      <c r="F9" s="138">
        <v>45701</v>
      </c>
      <c r="G9" t="s">
        <v>491</v>
      </c>
      <c r="H9" s="78" t="s">
        <v>247</v>
      </c>
      <c r="I9" s="44">
        <v>125.75</v>
      </c>
      <c r="N9" s="44"/>
    </row>
    <row r="10" spans="1:14" ht="14.4" customHeight="1" x14ac:dyDescent="0.3">
      <c r="A10" s="45"/>
      <c r="C10" s="103"/>
      <c r="D10" s="44"/>
      <c r="E10" s="44"/>
      <c r="F10" s="138">
        <v>45701</v>
      </c>
      <c r="G10" t="s">
        <v>492</v>
      </c>
      <c r="H10" s="78" t="s">
        <v>247</v>
      </c>
      <c r="I10" s="44">
        <v>130</v>
      </c>
      <c r="N10" s="44"/>
    </row>
    <row r="11" spans="1:14" ht="14.4" customHeight="1" x14ac:dyDescent="0.3">
      <c r="A11" s="45"/>
      <c r="C11" s="103"/>
      <c r="D11" s="44"/>
      <c r="E11" s="44"/>
      <c r="F11" s="138">
        <v>45722</v>
      </c>
      <c r="G11" t="s">
        <v>493</v>
      </c>
      <c r="H11" s="78" t="s">
        <v>247</v>
      </c>
      <c r="I11" s="44">
        <v>117.6</v>
      </c>
      <c r="N11" s="44"/>
    </row>
    <row r="12" spans="1:14" ht="14.4" customHeight="1" x14ac:dyDescent="0.3">
      <c r="A12" s="45"/>
      <c r="B12" s="64"/>
      <c r="C12" s="103"/>
      <c r="D12" s="44"/>
      <c r="E12" s="44"/>
      <c r="F12" s="138">
        <v>45732</v>
      </c>
      <c r="G12" t="s">
        <v>494</v>
      </c>
      <c r="H12" s="78" t="s">
        <v>247</v>
      </c>
      <c r="I12" s="44">
        <v>578.54999999999995</v>
      </c>
      <c r="N12" s="44"/>
    </row>
    <row r="13" spans="1:14" ht="14.4" customHeight="1" x14ac:dyDescent="0.3">
      <c r="A13" s="45"/>
      <c r="B13" s="64"/>
      <c r="C13" s="103"/>
      <c r="D13" s="44"/>
      <c r="E13" s="44"/>
      <c r="F13" s="138">
        <v>45734</v>
      </c>
      <c r="G13" t="s">
        <v>495</v>
      </c>
      <c r="H13" s="78" t="s">
        <v>247</v>
      </c>
      <c r="I13" s="44">
        <v>4.25</v>
      </c>
      <c r="N13" s="44"/>
    </row>
    <row r="14" spans="1:14" ht="14.4" customHeight="1" x14ac:dyDescent="0.3">
      <c r="A14" s="45"/>
      <c r="B14" s="64"/>
      <c r="C14" s="103"/>
      <c r="D14" s="44"/>
      <c r="E14" s="44"/>
      <c r="F14" s="138">
        <v>45762</v>
      </c>
      <c r="G14" t="s">
        <v>495</v>
      </c>
      <c r="H14" s="78" t="s">
        <v>247</v>
      </c>
      <c r="I14" s="44">
        <v>4.25</v>
      </c>
      <c r="N14" s="44"/>
    </row>
    <row r="15" spans="1:14" ht="14.4" customHeight="1" x14ac:dyDescent="0.3">
      <c r="A15" s="45"/>
      <c r="B15" s="64"/>
      <c r="C15" s="103"/>
      <c r="D15" s="44"/>
      <c r="E15" s="44"/>
      <c r="F15" s="138">
        <v>45795</v>
      </c>
      <c r="G15" t="s">
        <v>495</v>
      </c>
      <c r="H15" s="78" t="s">
        <v>247</v>
      </c>
      <c r="I15" s="44">
        <v>4.25</v>
      </c>
      <c r="N15" s="44"/>
    </row>
    <row r="16" spans="1:14" ht="14.4" customHeight="1" x14ac:dyDescent="0.3">
      <c r="A16" s="45"/>
      <c r="B16" s="64"/>
      <c r="C16" s="103"/>
      <c r="D16" s="44"/>
      <c r="E16" s="44"/>
      <c r="F16" s="138">
        <v>45805</v>
      </c>
      <c r="G16" t="s">
        <v>487</v>
      </c>
      <c r="H16" s="78" t="s">
        <v>247</v>
      </c>
      <c r="I16" s="44">
        <v>578.55999999999995</v>
      </c>
      <c r="N16" s="44"/>
    </row>
    <row r="17" spans="1:14" ht="14.4" customHeight="1" x14ac:dyDescent="0.3">
      <c r="A17" s="45"/>
      <c r="B17" s="64"/>
      <c r="C17" s="103"/>
      <c r="D17" s="44"/>
      <c r="E17" s="44"/>
      <c r="F17" s="138">
        <v>45813</v>
      </c>
      <c r="G17" t="s">
        <v>496</v>
      </c>
      <c r="H17" s="78" t="s">
        <v>247</v>
      </c>
      <c r="I17" s="44">
        <v>11</v>
      </c>
      <c r="N17" s="44"/>
    </row>
    <row r="18" spans="1:14" ht="14.4" customHeight="1" x14ac:dyDescent="0.3">
      <c r="A18" s="45"/>
      <c r="B18" s="64"/>
      <c r="C18" s="103"/>
      <c r="D18" s="44"/>
      <c r="E18" s="44"/>
      <c r="F18" s="138">
        <v>45813</v>
      </c>
      <c r="G18" t="s">
        <v>497</v>
      </c>
      <c r="H18" s="78" t="s">
        <v>247</v>
      </c>
      <c r="I18" s="44">
        <v>100</v>
      </c>
      <c r="N18" s="44"/>
    </row>
    <row r="19" spans="1:14" ht="14.4" customHeight="1" x14ac:dyDescent="0.3">
      <c r="A19" s="45"/>
      <c r="B19" s="64"/>
      <c r="C19" s="103"/>
      <c r="D19" s="44"/>
      <c r="E19" s="44"/>
      <c r="F19" s="138">
        <v>45825</v>
      </c>
      <c r="G19" t="s">
        <v>495</v>
      </c>
      <c r="H19" s="78" t="s">
        <v>247</v>
      </c>
      <c r="I19" s="44">
        <v>4.25</v>
      </c>
      <c r="N19" s="44"/>
    </row>
    <row r="20" spans="1:14" ht="14.4" customHeight="1" x14ac:dyDescent="0.3">
      <c r="A20" s="45"/>
      <c r="B20" s="64"/>
      <c r="C20" s="103"/>
      <c r="D20" s="44"/>
      <c r="E20" s="44"/>
      <c r="F20" s="138">
        <v>45856</v>
      </c>
      <c r="G20" t="s">
        <v>495</v>
      </c>
      <c r="H20" s="78" t="s">
        <v>247</v>
      </c>
      <c r="I20" s="44">
        <v>4.25</v>
      </c>
      <c r="N20" s="44"/>
    </row>
    <row r="21" spans="1:14" ht="14.4" customHeight="1" x14ac:dyDescent="0.3">
      <c r="A21" s="45"/>
      <c r="B21" s="64"/>
      <c r="C21" s="103"/>
      <c r="D21" s="44"/>
      <c r="E21" s="44"/>
      <c r="F21" s="138">
        <v>45887</v>
      </c>
      <c r="G21" t="s">
        <v>495</v>
      </c>
      <c r="H21" s="78" t="s">
        <v>247</v>
      </c>
      <c r="I21" s="44">
        <v>4.25</v>
      </c>
      <c r="N21" s="44"/>
    </row>
    <row r="22" spans="1:14" ht="14.4" customHeight="1" x14ac:dyDescent="0.3">
      <c r="A22" s="45"/>
      <c r="B22" s="64"/>
      <c r="C22" s="103"/>
      <c r="D22" s="44"/>
      <c r="E22" s="44"/>
      <c r="F22" s="138">
        <v>45831</v>
      </c>
      <c r="G22" t="s">
        <v>498</v>
      </c>
      <c r="H22" s="78" t="s">
        <v>247</v>
      </c>
      <c r="I22" s="44">
        <v>50</v>
      </c>
      <c r="N22" s="44"/>
    </row>
    <row r="23" spans="1:14" ht="14.4" customHeight="1" x14ac:dyDescent="0.3">
      <c r="A23" s="45"/>
      <c r="B23" s="64"/>
      <c r="C23" s="103"/>
      <c r="D23" s="44"/>
      <c r="E23" s="44"/>
      <c r="F23" s="138">
        <v>45831</v>
      </c>
      <c r="G23" t="s">
        <v>361</v>
      </c>
      <c r="H23" s="78" t="s">
        <v>247</v>
      </c>
      <c r="I23" s="44">
        <v>50</v>
      </c>
      <c r="N23" s="44"/>
    </row>
    <row r="24" spans="1:14" ht="14.4" customHeight="1" x14ac:dyDescent="0.3">
      <c r="A24" s="45"/>
      <c r="B24" s="64"/>
      <c r="C24" s="103"/>
      <c r="D24" s="44"/>
      <c r="E24" s="44"/>
      <c r="F24" s="138"/>
      <c r="H24" s="78"/>
      <c r="I24" s="44"/>
      <c r="N24" s="44"/>
    </row>
    <row r="25" spans="1:14" ht="14.4" customHeight="1" x14ac:dyDescent="0.3">
      <c r="A25" s="45"/>
      <c r="C25" s="103"/>
      <c r="D25" s="48"/>
      <c r="E25" s="48"/>
      <c r="H25" s="103"/>
      <c r="I25" s="48"/>
      <c r="N25" s="44"/>
    </row>
    <row r="26" spans="1:14" ht="14.4" customHeight="1" x14ac:dyDescent="0.3">
      <c r="A26" s="45"/>
      <c r="B26" t="s">
        <v>499</v>
      </c>
      <c r="C26" s="103"/>
      <c r="D26" s="49">
        <f>SUM(D5:D25)</f>
        <v>0</v>
      </c>
      <c r="E26" s="49"/>
      <c r="G26" t="s">
        <v>82</v>
      </c>
      <c r="H26" s="103"/>
      <c r="I26" s="49">
        <f>SUM(I5:I25)</f>
        <v>6875.9800000000014</v>
      </c>
      <c r="N26" s="44"/>
    </row>
    <row r="27" spans="1:14" x14ac:dyDescent="0.3">
      <c r="A27" s="55"/>
      <c r="B27" s="55"/>
      <c r="C27" s="56"/>
      <c r="D27" s="55"/>
      <c r="E27" s="55"/>
      <c r="F27" s="55"/>
      <c r="G27" s="55"/>
      <c r="H27" s="56"/>
      <c r="I27" s="55"/>
      <c r="N27" s="44"/>
    </row>
    <row r="28" spans="1:14" x14ac:dyDescent="0.3">
      <c r="N28" s="44"/>
    </row>
    <row r="29" spans="1:14" x14ac:dyDescent="0.3">
      <c r="N29" s="44"/>
    </row>
    <row r="30" spans="1:14" s="59" customFormat="1" x14ac:dyDescent="0.3">
      <c r="A30" s="59" t="s">
        <v>79</v>
      </c>
      <c r="C30" s="60"/>
      <c r="D30" s="61">
        <f>D26</f>
        <v>0</v>
      </c>
      <c r="E30" s="61"/>
      <c r="H30" s="104"/>
      <c r="I30" s="61">
        <f>I26</f>
        <v>6875.9800000000014</v>
      </c>
      <c r="L30"/>
      <c r="N30" s="44"/>
    </row>
    <row r="31" spans="1:14" x14ac:dyDescent="0.3">
      <c r="N31" s="44"/>
    </row>
    <row r="32" spans="1:14" x14ac:dyDescent="0.3">
      <c r="N32" s="44"/>
    </row>
    <row r="33" spans="14:14" x14ac:dyDescent="0.3">
      <c r="N33" s="44"/>
    </row>
    <row r="34" spans="14:14" x14ac:dyDescent="0.3">
      <c r="N34" s="53"/>
    </row>
  </sheetData>
  <mergeCells count="3">
    <mergeCell ref="A1:I1"/>
    <mergeCell ref="B3:D3"/>
    <mergeCell ref="G3:I3"/>
  </mergeCells>
  <pageMargins left="0.7" right="0.7" top="0.75" bottom="0.75" header="0.3" footer="0.3"/>
  <pageSetup scale="83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41"/>
  <sheetViews>
    <sheetView workbookViewId="0">
      <selection activeCell="L9" sqref="L9"/>
    </sheetView>
  </sheetViews>
  <sheetFormatPr defaultColWidth="8.6640625" defaultRowHeight="14.4" x14ac:dyDescent="0.3"/>
  <cols>
    <col min="1" max="1" width="14.5546875" customWidth="1"/>
    <col min="2" max="2" width="38.44140625" customWidth="1"/>
    <col min="3" max="3" width="15.5546875" style="30" customWidth="1"/>
    <col min="4" max="4" width="11.33203125" customWidth="1"/>
    <col min="5" max="5" width="8" customWidth="1"/>
    <col min="6" max="6" width="14.33203125" customWidth="1"/>
    <col min="7" max="7" width="45.5546875" customWidth="1"/>
    <col min="8" max="8" width="15.5546875" style="30" customWidth="1"/>
    <col min="9" max="9" width="12.6640625" customWidth="1"/>
    <col min="10" max="10" width="9" bestFit="1" customWidth="1"/>
  </cols>
  <sheetData>
    <row r="1" spans="1:14" ht="28.35" customHeight="1" x14ac:dyDescent="0.3">
      <c r="A1" s="173" t="s">
        <v>124</v>
      </c>
      <c r="B1" s="173"/>
      <c r="C1" s="173"/>
      <c r="D1" s="173"/>
      <c r="E1" s="173"/>
      <c r="F1" s="173"/>
      <c r="G1" s="173"/>
      <c r="H1" s="173"/>
      <c r="I1" s="173"/>
    </row>
    <row r="2" spans="1:14" ht="18" x14ac:dyDescent="0.35">
      <c r="A2" s="54"/>
      <c r="B2" s="54"/>
      <c r="C2" s="54"/>
      <c r="D2" s="54"/>
      <c r="E2" s="54"/>
      <c r="F2" s="54"/>
      <c r="G2" s="54"/>
    </row>
    <row r="3" spans="1:14" ht="15.6" x14ac:dyDescent="0.3">
      <c r="A3" s="171" t="s">
        <v>59</v>
      </c>
      <c r="B3" s="171"/>
      <c r="C3" s="171"/>
      <c r="D3" s="171"/>
      <c r="E3" s="46"/>
      <c r="F3" s="171" t="s">
        <v>68</v>
      </c>
      <c r="G3" s="171"/>
      <c r="H3" s="171"/>
      <c r="I3" s="171"/>
    </row>
    <row r="4" spans="1:14" ht="40.35" customHeight="1" x14ac:dyDescent="0.3">
      <c r="A4" s="51" t="s">
        <v>0</v>
      </c>
      <c r="B4" s="51" t="s">
        <v>58</v>
      </c>
      <c r="C4" s="52" t="s">
        <v>67</v>
      </c>
      <c r="D4" s="51" t="s">
        <v>66</v>
      </c>
      <c r="E4" s="51"/>
      <c r="F4" s="51" t="s">
        <v>0</v>
      </c>
      <c r="G4" s="51" t="s">
        <v>58</v>
      </c>
      <c r="H4" s="52" t="s">
        <v>67</v>
      </c>
      <c r="I4" s="51" t="s">
        <v>66</v>
      </c>
    </row>
    <row r="5" spans="1:14" ht="40.35" customHeight="1" x14ac:dyDescent="0.3">
      <c r="A5" s="51"/>
      <c r="B5" s="51"/>
      <c r="C5" s="52"/>
      <c r="D5" s="51"/>
      <c r="E5" s="51"/>
      <c r="F5" s="77"/>
      <c r="H5" s="78"/>
      <c r="I5" s="47"/>
    </row>
    <row r="6" spans="1:14" ht="15.6" x14ac:dyDescent="0.3">
      <c r="A6" s="77"/>
      <c r="E6" s="47"/>
      <c r="F6" s="77"/>
      <c r="G6" s="40"/>
      <c r="H6" s="78"/>
      <c r="I6" s="44"/>
      <c r="J6" s="44"/>
      <c r="K6" s="20"/>
    </row>
    <row r="7" spans="1:14" ht="47.1" customHeight="1" x14ac:dyDescent="0.3">
      <c r="A7" s="77"/>
      <c r="B7" s="40"/>
      <c r="C7" s="78"/>
      <c r="D7" s="44"/>
      <c r="E7" s="44"/>
      <c r="F7" s="77"/>
      <c r="G7" s="40"/>
      <c r="H7" s="78"/>
      <c r="I7" s="44"/>
      <c r="J7" s="74"/>
      <c r="K7" s="74"/>
    </row>
    <row r="8" spans="1:14" ht="41.1" customHeight="1" x14ac:dyDescent="0.3">
      <c r="A8" s="77"/>
      <c r="B8" s="40"/>
      <c r="C8" s="78"/>
      <c r="D8" s="44"/>
      <c r="E8" s="44"/>
      <c r="F8" s="77"/>
      <c r="G8" s="40"/>
      <c r="H8" s="78"/>
      <c r="I8" s="44"/>
    </row>
    <row r="9" spans="1:14" ht="41.1" customHeight="1" x14ac:dyDescent="0.3">
      <c r="E9" s="44"/>
      <c r="F9" s="77"/>
      <c r="G9" s="40"/>
      <c r="H9" s="78"/>
      <c r="I9" s="44"/>
      <c r="L9" s="16"/>
    </row>
    <row r="10" spans="1:14" ht="18.899999999999999" customHeight="1" x14ac:dyDescent="0.3">
      <c r="A10" s="77"/>
      <c r="C10" s="78"/>
      <c r="D10" s="44"/>
      <c r="E10" s="44"/>
      <c r="F10" s="77"/>
      <c r="G10" s="40"/>
      <c r="H10" s="78"/>
      <c r="I10" s="44"/>
      <c r="N10" s="44"/>
    </row>
    <row r="11" spans="1:14" ht="20.7" customHeight="1" x14ac:dyDescent="0.3">
      <c r="A11" s="77"/>
      <c r="C11" s="78"/>
      <c r="D11" s="44"/>
      <c r="E11" s="44"/>
      <c r="F11" s="77"/>
      <c r="G11" s="40"/>
      <c r="H11" s="78"/>
      <c r="I11" s="44"/>
      <c r="N11" s="44"/>
    </row>
    <row r="12" spans="1:14" ht="18" customHeight="1" x14ac:dyDescent="0.3">
      <c r="A12" s="45"/>
      <c r="B12" s="64"/>
      <c r="C12" s="103"/>
      <c r="D12" s="44"/>
      <c r="E12" s="44"/>
      <c r="F12" s="77"/>
      <c r="G12" s="77"/>
      <c r="H12" s="77"/>
      <c r="I12" s="44"/>
      <c r="N12" s="44"/>
    </row>
    <row r="13" spans="1:14" ht="18" customHeight="1" x14ac:dyDescent="0.3">
      <c r="A13" s="45"/>
      <c r="B13" s="64"/>
      <c r="C13" s="103"/>
      <c r="D13" s="44"/>
      <c r="E13" s="44"/>
      <c r="F13" s="77"/>
      <c r="G13" s="77"/>
      <c r="H13" s="77"/>
      <c r="I13" s="77"/>
      <c r="N13" s="44"/>
    </row>
    <row r="14" spans="1:14" ht="18" customHeight="1" x14ac:dyDescent="0.3">
      <c r="A14" s="45"/>
      <c r="B14" s="64"/>
      <c r="C14" s="103"/>
      <c r="D14" s="44"/>
      <c r="E14" s="44"/>
      <c r="F14" s="77"/>
      <c r="G14" s="77"/>
      <c r="H14" s="77"/>
      <c r="I14" s="77"/>
      <c r="N14" s="44"/>
    </row>
    <row r="15" spans="1:14" ht="18" customHeight="1" x14ac:dyDescent="0.3">
      <c r="A15" s="45"/>
      <c r="B15" s="64"/>
      <c r="C15" s="103"/>
      <c r="D15" s="44"/>
      <c r="E15" s="44"/>
      <c r="F15" s="65"/>
      <c r="H15" s="78"/>
      <c r="I15" s="47"/>
      <c r="N15" s="49"/>
    </row>
    <row r="16" spans="1:14" ht="18" customHeight="1" x14ac:dyDescent="0.3">
      <c r="A16" s="45"/>
      <c r="B16" s="64"/>
      <c r="C16" s="103"/>
      <c r="D16" s="44"/>
      <c r="E16" s="44"/>
      <c r="F16" s="65"/>
      <c r="H16" s="78"/>
      <c r="I16" s="47"/>
      <c r="N16" s="44"/>
    </row>
    <row r="17" spans="1:18" ht="18" customHeight="1" x14ac:dyDescent="0.3">
      <c r="A17" s="45"/>
      <c r="B17" s="64"/>
      <c r="C17" s="103"/>
      <c r="D17" s="44"/>
      <c r="E17" s="44"/>
      <c r="F17" s="65"/>
      <c r="H17" s="78"/>
      <c r="I17" s="47"/>
      <c r="N17" s="44"/>
      <c r="O17" s="76"/>
      <c r="P17" s="78"/>
      <c r="R17" s="137"/>
    </row>
    <row r="18" spans="1:18" ht="18" customHeight="1" x14ac:dyDescent="0.3">
      <c r="A18" s="45"/>
      <c r="B18" s="64"/>
      <c r="C18" s="103"/>
      <c r="D18" s="44"/>
      <c r="E18" s="44"/>
      <c r="F18" s="65"/>
      <c r="H18" s="78"/>
      <c r="I18" s="47"/>
      <c r="N18" s="44"/>
      <c r="O18" s="76"/>
      <c r="P18" s="78"/>
    </row>
    <row r="19" spans="1:18" ht="18" customHeight="1" x14ac:dyDescent="0.3">
      <c r="A19" s="45"/>
      <c r="B19" s="64"/>
      <c r="C19" s="103"/>
      <c r="D19" s="44"/>
      <c r="E19" s="44"/>
      <c r="N19" s="44"/>
    </row>
    <row r="20" spans="1:18" ht="18" customHeight="1" x14ac:dyDescent="0.3">
      <c r="A20" s="45"/>
      <c r="B20" s="64"/>
      <c r="C20" s="103"/>
      <c r="D20" s="44"/>
      <c r="E20" s="44"/>
      <c r="N20" s="44"/>
    </row>
    <row r="21" spans="1:18" ht="18" customHeight="1" x14ac:dyDescent="0.3">
      <c r="A21" s="45"/>
      <c r="B21" s="64"/>
      <c r="C21" s="103"/>
      <c r="D21" s="44"/>
      <c r="E21" s="44"/>
      <c r="F21" s="65"/>
      <c r="H21" s="78"/>
      <c r="I21" s="47"/>
      <c r="M21" s="59"/>
      <c r="N21" s="44"/>
    </row>
    <row r="22" spans="1:18" ht="14.4" customHeight="1" x14ac:dyDescent="0.3">
      <c r="A22" s="45"/>
      <c r="B22" s="64"/>
      <c r="C22" s="103"/>
      <c r="D22" s="44"/>
      <c r="E22" s="44"/>
      <c r="F22" s="65"/>
      <c r="G22" s="64"/>
      <c r="I22" s="47"/>
      <c r="N22" s="44"/>
    </row>
    <row r="23" spans="1:18" ht="14.4" customHeight="1" x14ac:dyDescent="0.3">
      <c r="A23" s="45"/>
      <c r="C23" s="103"/>
      <c r="D23" s="48"/>
      <c r="E23" s="48"/>
      <c r="H23" s="103"/>
      <c r="I23" s="47"/>
      <c r="N23" s="44"/>
    </row>
    <row r="24" spans="1:18" ht="14.4" customHeight="1" x14ac:dyDescent="0.3">
      <c r="A24" s="45"/>
      <c r="B24" t="s">
        <v>125</v>
      </c>
      <c r="C24" s="103"/>
      <c r="D24" s="49">
        <f>SUM(D6:D23)</f>
        <v>0</v>
      </c>
      <c r="E24" s="49"/>
      <c r="G24" t="s">
        <v>126</v>
      </c>
      <c r="H24" s="103"/>
      <c r="I24" s="87">
        <f>SUM(I5:I23)</f>
        <v>0</v>
      </c>
      <c r="N24" s="44"/>
    </row>
    <row r="25" spans="1:18" x14ac:dyDescent="0.3">
      <c r="A25" s="55"/>
      <c r="B25" s="55"/>
      <c r="C25" s="56"/>
      <c r="D25" s="55"/>
      <c r="E25" s="55"/>
      <c r="F25" s="55"/>
      <c r="G25" s="55"/>
      <c r="H25" s="56"/>
      <c r="I25" s="55"/>
      <c r="N25" s="53"/>
    </row>
    <row r="26" spans="1:18" x14ac:dyDescent="0.3">
      <c r="O26" s="16"/>
      <c r="Q26" s="16"/>
    </row>
    <row r="28" spans="1:18" s="59" customFormat="1" x14ac:dyDescent="0.3">
      <c r="A28" s="59" t="s">
        <v>79</v>
      </c>
      <c r="B28"/>
      <c r="C28" s="60"/>
      <c r="D28" s="61">
        <f>D24</f>
        <v>0</v>
      </c>
      <c r="E28" s="61"/>
      <c r="H28" s="104"/>
      <c r="I28" s="61">
        <f>I24</f>
        <v>0</v>
      </c>
    </row>
    <row r="32" spans="1:18" x14ac:dyDescent="0.3">
      <c r="A32" s="77"/>
    </row>
    <row r="33" spans="2:8" ht="15.6" x14ac:dyDescent="0.3">
      <c r="F33" s="65"/>
      <c r="H33" s="47"/>
    </row>
    <row r="34" spans="2:8" x14ac:dyDescent="0.3">
      <c r="F34" s="65"/>
      <c r="H34" s="105"/>
    </row>
    <row r="35" spans="2:8" x14ac:dyDescent="0.3">
      <c r="B35" s="76"/>
      <c r="E35" s="129"/>
      <c r="F35" s="65"/>
      <c r="H35" s="105"/>
    </row>
    <row r="36" spans="2:8" x14ac:dyDescent="0.3">
      <c r="F36" s="65"/>
      <c r="H36" s="105"/>
    </row>
    <row r="37" spans="2:8" x14ac:dyDescent="0.3">
      <c r="F37" s="65"/>
      <c r="H37" s="105"/>
    </row>
    <row r="38" spans="2:8" x14ac:dyDescent="0.3">
      <c r="F38" s="65"/>
      <c r="H38" s="105"/>
    </row>
    <row r="39" spans="2:8" x14ac:dyDescent="0.3">
      <c r="F39" s="65"/>
      <c r="H39" s="105"/>
    </row>
    <row r="40" spans="2:8" x14ac:dyDescent="0.3">
      <c r="F40" s="65"/>
      <c r="H40" s="105"/>
    </row>
    <row r="41" spans="2:8" x14ac:dyDescent="0.3">
      <c r="F41" s="65"/>
      <c r="H41" s="105"/>
    </row>
  </sheetData>
  <mergeCells count="3">
    <mergeCell ref="A1:I1"/>
    <mergeCell ref="A3:D3"/>
    <mergeCell ref="F3:I3"/>
  </mergeCells>
  <pageMargins left="0.7" right="0.7" top="0.75" bottom="0.75" header="0.3" footer="0.3"/>
  <pageSetup scale="7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66067-95A6-4615-81E7-DC89F516D325}">
  <sheetPr>
    <pageSetUpPr fitToPage="1"/>
  </sheetPr>
  <dimension ref="A1:AG80"/>
  <sheetViews>
    <sheetView zoomScale="70" zoomScaleNormal="70" workbookViewId="0">
      <pane ySplit="1" topLeftCell="A44" activePane="bottomLeft" state="frozen"/>
      <selection pane="bottomLeft" activeCell="N55" sqref="N55"/>
    </sheetView>
  </sheetViews>
  <sheetFormatPr defaultColWidth="16.44140625" defaultRowHeight="14.4" x14ac:dyDescent="0.3"/>
  <cols>
    <col min="1" max="1" width="14.44140625" style="2" customWidth="1"/>
    <col min="2" max="5" width="13.109375" style="2" customWidth="1"/>
    <col min="6" max="6" width="13" style="2" customWidth="1"/>
    <col min="7" max="7" width="12.44140625" style="2" customWidth="1"/>
    <col min="8" max="8" width="14.44140625" style="2" customWidth="1"/>
    <col min="9" max="9" width="13.88671875" customWidth="1"/>
    <col min="10" max="10" width="19.44140625" customWidth="1"/>
    <col min="11" max="13" width="12.44140625" customWidth="1"/>
    <col min="14" max="14" width="18.109375" customWidth="1"/>
    <col min="15" max="15" width="13.6640625" style="2" customWidth="1"/>
    <col min="16" max="16" width="13.44140625" style="2" customWidth="1"/>
    <col min="17" max="17" width="14.6640625" style="2" customWidth="1"/>
    <col min="18" max="18" width="13.44140625" style="2" customWidth="1"/>
    <col min="19" max="19" width="13.109375" style="2" customWidth="1"/>
    <col min="20" max="20" width="20.6640625" style="2" customWidth="1"/>
    <col min="21" max="21" width="71.33203125" style="2" customWidth="1"/>
    <col min="22" max="22" width="44.6640625" customWidth="1"/>
    <col min="23" max="23" width="47.33203125" style="2" customWidth="1"/>
    <col min="24" max="24" width="48.109375" style="2" customWidth="1"/>
    <col min="25" max="28" width="10" style="2" customWidth="1"/>
    <col min="29" max="29" width="9.6640625" customWidth="1"/>
    <col min="30" max="30" width="9.5546875" customWidth="1"/>
    <col min="31" max="31" width="7.5546875" style="2" bestFit="1" customWidth="1"/>
    <col min="32" max="32" width="8.44140625" style="2" customWidth="1"/>
    <col min="33" max="33" width="8.109375" customWidth="1"/>
    <col min="34" max="34" width="10.6640625" style="2" bestFit="1" customWidth="1"/>
    <col min="35" max="35" width="15.6640625" style="2" customWidth="1"/>
    <col min="36" max="36" width="118.6640625" style="2" bestFit="1" customWidth="1"/>
    <col min="37" max="37" width="2.44140625" style="2" customWidth="1"/>
    <col min="38" max="39" width="7.6640625" style="2" bestFit="1" customWidth="1"/>
    <col min="40" max="40" width="8.44140625" style="2" bestFit="1" customWidth="1"/>
    <col min="41" max="41" width="9.33203125" style="2" bestFit="1" customWidth="1"/>
    <col min="42" max="16384" width="16.44140625" style="2"/>
  </cols>
  <sheetData>
    <row r="1" spans="1:33" ht="41.1" customHeight="1" thickBot="1" x14ac:dyDescent="0.35">
      <c r="A1" s="7" t="s">
        <v>0</v>
      </c>
      <c r="B1" s="21" t="s">
        <v>129</v>
      </c>
      <c r="C1" s="21" t="s">
        <v>46</v>
      </c>
      <c r="D1" s="21" t="s">
        <v>761</v>
      </c>
      <c r="E1" s="21" t="s">
        <v>17</v>
      </c>
      <c r="F1" s="21" t="s">
        <v>740</v>
      </c>
      <c r="G1" s="21" t="s">
        <v>15</v>
      </c>
      <c r="H1" s="22" t="s">
        <v>5</v>
      </c>
      <c r="I1" s="21" t="s">
        <v>283</v>
      </c>
      <c r="J1" s="22" t="s">
        <v>8</v>
      </c>
      <c r="K1" s="21" t="s">
        <v>135</v>
      </c>
      <c r="L1" s="21" t="s">
        <v>47</v>
      </c>
      <c r="M1" s="21" t="s">
        <v>762</v>
      </c>
      <c r="N1" s="21" t="s">
        <v>32</v>
      </c>
      <c r="O1" s="21" t="s">
        <v>741</v>
      </c>
      <c r="P1" s="21" t="s">
        <v>31</v>
      </c>
      <c r="Q1" s="22" t="s">
        <v>33</v>
      </c>
      <c r="R1" s="21" t="s">
        <v>284</v>
      </c>
      <c r="S1" s="22" t="s">
        <v>34</v>
      </c>
      <c r="T1" s="8" t="s">
        <v>1</v>
      </c>
      <c r="U1" s="8" t="s">
        <v>2</v>
      </c>
      <c r="V1" s="2"/>
      <c r="AC1" s="2"/>
      <c r="AD1" s="2"/>
      <c r="AG1" s="2"/>
    </row>
    <row r="2" spans="1:33" x14ac:dyDescent="0.3">
      <c r="A2" s="9">
        <v>45536</v>
      </c>
      <c r="B2" s="5"/>
      <c r="C2" s="184"/>
      <c r="D2" s="184"/>
      <c r="E2" s="5"/>
      <c r="F2" s="18"/>
      <c r="G2" s="18"/>
      <c r="H2" s="18"/>
      <c r="I2" s="10"/>
      <c r="J2" s="10"/>
      <c r="K2" s="71"/>
      <c r="L2" s="71"/>
      <c r="M2" s="71"/>
      <c r="N2" s="71"/>
      <c r="O2" s="71"/>
      <c r="P2" s="71"/>
      <c r="Q2" s="71"/>
      <c r="R2" s="71"/>
      <c r="S2" s="71"/>
      <c r="T2" s="10"/>
      <c r="U2" s="26" t="s">
        <v>3</v>
      </c>
      <c r="V2" s="2"/>
      <c r="AC2" s="2"/>
      <c r="AD2" s="2"/>
      <c r="AG2" s="2"/>
    </row>
    <row r="3" spans="1:33" x14ac:dyDescent="0.3">
      <c r="A3" s="38"/>
      <c r="B3" s="5"/>
      <c r="C3" s="184"/>
      <c r="D3" s="184"/>
      <c r="E3" s="5"/>
      <c r="F3" s="39"/>
      <c r="G3" s="39"/>
      <c r="H3" s="39"/>
      <c r="I3" s="39"/>
      <c r="J3" s="39"/>
      <c r="K3" s="72"/>
      <c r="L3" s="72"/>
      <c r="M3" s="72"/>
      <c r="N3" s="72"/>
      <c r="O3" s="72"/>
      <c r="P3" s="72"/>
      <c r="Q3" s="72"/>
      <c r="R3" s="72"/>
      <c r="S3" s="72"/>
      <c r="T3" s="70">
        <f t="shared" ref="T3:T47" si="0">SUM(B3:J3)-SUM(K3:S3)</f>
        <v>0</v>
      </c>
      <c r="U3" s="23"/>
      <c r="V3" s="2"/>
      <c r="AC3" s="2"/>
      <c r="AD3" s="2"/>
      <c r="AG3" s="2"/>
    </row>
    <row r="4" spans="1:33" x14ac:dyDescent="0.3">
      <c r="A4" s="38" t="s">
        <v>136</v>
      </c>
      <c r="B4" s="14">
        <f>Sat_Workshops!F15</f>
        <v>401</v>
      </c>
      <c r="C4" s="184"/>
      <c r="D4" s="184"/>
      <c r="E4" s="5"/>
      <c r="F4" s="39"/>
      <c r="G4" s="39"/>
      <c r="H4" s="39"/>
      <c r="I4" s="39"/>
      <c r="J4" s="39"/>
      <c r="K4" s="73">
        <f>Sat_Workshops!J15</f>
        <v>541.91</v>
      </c>
      <c r="L4" s="72"/>
      <c r="M4" s="72"/>
      <c r="N4" s="72"/>
      <c r="O4" s="72"/>
      <c r="P4" s="72"/>
      <c r="Q4" s="72"/>
      <c r="R4" s="72"/>
      <c r="S4" s="72"/>
      <c r="T4" s="70">
        <f t="shared" si="0"/>
        <v>-140.90999999999997</v>
      </c>
      <c r="U4" s="23" t="s">
        <v>517</v>
      </c>
      <c r="V4" s="2"/>
      <c r="AC4" s="2"/>
      <c r="AD4" s="2"/>
      <c r="AG4" s="2"/>
    </row>
    <row r="5" spans="1:33" x14ac:dyDescent="0.3">
      <c r="A5" s="13" t="s">
        <v>20</v>
      </c>
      <c r="B5" s="14">
        <f>Sat_Workshops!F26</f>
        <v>0</v>
      </c>
      <c r="C5" s="184"/>
      <c r="D5" s="184"/>
      <c r="E5" s="5"/>
      <c r="F5" s="14"/>
      <c r="G5" s="14"/>
      <c r="H5" s="14"/>
      <c r="I5" s="14"/>
      <c r="J5" s="14"/>
      <c r="K5" s="73">
        <f>Sat_Workshops!J26</f>
        <v>0</v>
      </c>
      <c r="L5" s="73"/>
      <c r="M5" s="73"/>
      <c r="N5" s="73"/>
      <c r="O5" s="73"/>
      <c r="P5" s="73"/>
      <c r="Q5" s="73"/>
      <c r="R5" s="73"/>
      <c r="S5" s="73"/>
      <c r="T5" s="70">
        <f t="shared" si="0"/>
        <v>0</v>
      </c>
      <c r="U5" s="23" t="s">
        <v>267</v>
      </c>
      <c r="V5" s="2"/>
      <c r="AC5" s="2"/>
      <c r="AD5" s="2"/>
      <c r="AG5" s="2"/>
    </row>
    <row r="6" spans="1:33" x14ac:dyDescent="0.3">
      <c r="A6" s="13" t="s">
        <v>21</v>
      </c>
      <c r="B6" s="14">
        <f>Sat_Workshops!F39</f>
        <v>417</v>
      </c>
      <c r="C6" s="184"/>
      <c r="D6" s="184"/>
      <c r="E6" s="5"/>
      <c r="F6" s="14"/>
      <c r="G6" s="14"/>
      <c r="H6" s="14"/>
      <c r="I6" s="14"/>
      <c r="J6" s="14"/>
      <c r="K6" s="73">
        <f>Sat_Workshops!J39</f>
        <v>610.76</v>
      </c>
      <c r="L6" s="73"/>
      <c r="M6" s="73"/>
      <c r="N6" s="73"/>
      <c r="O6" s="73"/>
      <c r="P6" s="73"/>
      <c r="Q6" s="73"/>
      <c r="R6" s="73"/>
      <c r="S6" s="73"/>
      <c r="T6" s="70">
        <f t="shared" si="0"/>
        <v>-193.76</v>
      </c>
      <c r="U6" s="23" t="s">
        <v>268</v>
      </c>
      <c r="V6" s="2"/>
      <c r="AC6" s="2"/>
      <c r="AD6" s="2"/>
      <c r="AG6" s="2"/>
    </row>
    <row r="7" spans="1:33" x14ac:dyDescent="0.3">
      <c r="A7" s="13" t="s">
        <v>22</v>
      </c>
      <c r="B7" s="14">
        <f>Sat_Workshops!F51</f>
        <v>503</v>
      </c>
      <c r="C7" s="184"/>
      <c r="D7" s="184"/>
      <c r="E7" s="5"/>
      <c r="F7" s="14"/>
      <c r="G7" s="14"/>
      <c r="H7" s="14"/>
      <c r="I7" s="14"/>
      <c r="J7" s="14"/>
      <c r="K7" s="73">
        <f>Sat_Workshops!J51</f>
        <v>573.88</v>
      </c>
      <c r="L7" s="73"/>
      <c r="M7" s="73"/>
      <c r="N7" s="73"/>
      <c r="O7" s="73"/>
      <c r="P7" s="73"/>
      <c r="Q7" s="73"/>
      <c r="R7" s="73"/>
      <c r="S7" s="73"/>
      <c r="T7" s="70">
        <f t="shared" si="0"/>
        <v>-70.88</v>
      </c>
      <c r="U7" s="23" t="s">
        <v>269</v>
      </c>
      <c r="V7" s="2"/>
      <c r="AC7" s="2"/>
      <c r="AD7" s="2"/>
      <c r="AG7" s="2"/>
    </row>
    <row r="8" spans="1:33" x14ac:dyDescent="0.3">
      <c r="A8" s="13" t="s">
        <v>23</v>
      </c>
      <c r="B8" s="14">
        <f>Sat_Workshops!F64</f>
        <v>454</v>
      </c>
      <c r="C8" s="184"/>
      <c r="D8" s="184"/>
      <c r="E8" s="5"/>
      <c r="F8" s="14"/>
      <c r="G8" s="14"/>
      <c r="H8" s="14"/>
      <c r="I8" s="14"/>
      <c r="J8" s="14"/>
      <c r="K8" s="73">
        <f>Sat_Workshops!J64</f>
        <v>549.59</v>
      </c>
      <c r="L8" s="73"/>
      <c r="M8" s="73"/>
      <c r="N8" s="73"/>
      <c r="O8" s="73"/>
      <c r="P8" s="73"/>
      <c r="Q8" s="73"/>
      <c r="R8" s="73"/>
      <c r="S8" s="73"/>
      <c r="T8" s="70">
        <f t="shared" si="0"/>
        <v>-95.590000000000032</v>
      </c>
      <c r="U8" s="23" t="s">
        <v>270</v>
      </c>
      <c r="V8" s="2"/>
      <c r="AC8" s="2"/>
      <c r="AD8" s="2"/>
      <c r="AG8" s="2"/>
    </row>
    <row r="9" spans="1:33" x14ac:dyDescent="0.3">
      <c r="A9" s="13" t="s">
        <v>24</v>
      </c>
      <c r="B9" s="14">
        <f>Sat_Workshops!F79</f>
        <v>0</v>
      </c>
      <c r="C9" s="184"/>
      <c r="D9" s="184"/>
      <c r="E9" s="5"/>
      <c r="F9" s="14"/>
      <c r="G9" s="14"/>
      <c r="H9" s="14"/>
      <c r="I9" s="14"/>
      <c r="J9" s="14"/>
      <c r="K9" s="73">
        <f>Sat_Workshops!J79</f>
        <v>0</v>
      </c>
      <c r="L9" s="73"/>
      <c r="M9" s="73"/>
      <c r="N9" s="73"/>
      <c r="O9" s="73"/>
      <c r="P9" s="73"/>
      <c r="Q9" s="73"/>
      <c r="R9" s="73"/>
      <c r="S9" s="73"/>
      <c r="T9" s="70">
        <f t="shared" si="0"/>
        <v>0</v>
      </c>
      <c r="U9" s="23" t="s">
        <v>189</v>
      </c>
      <c r="V9" s="2"/>
      <c r="AC9" s="2"/>
      <c r="AD9" s="2"/>
      <c r="AG9" s="2"/>
    </row>
    <row r="10" spans="1:33" x14ac:dyDescent="0.3">
      <c r="A10" s="13" t="s">
        <v>25</v>
      </c>
      <c r="B10" s="14">
        <f>Sat_Workshops!F91</f>
        <v>400</v>
      </c>
      <c r="C10" s="184"/>
      <c r="D10" s="184"/>
      <c r="E10" s="5"/>
      <c r="F10" s="14"/>
      <c r="G10" s="14"/>
      <c r="H10" s="14"/>
      <c r="I10" s="14"/>
      <c r="J10" s="14"/>
      <c r="K10" s="73">
        <f>Sat_Workshops!J91</f>
        <v>572.13</v>
      </c>
      <c r="L10" s="73"/>
      <c r="M10" s="73"/>
      <c r="N10" s="73"/>
      <c r="O10" s="73"/>
      <c r="P10" s="73"/>
      <c r="Q10" s="73"/>
      <c r="R10" s="73"/>
      <c r="S10" s="73"/>
      <c r="T10" s="70">
        <f t="shared" si="0"/>
        <v>-172.13</v>
      </c>
      <c r="U10" s="23" t="s">
        <v>271</v>
      </c>
      <c r="V10" s="2"/>
      <c r="AC10" s="2"/>
      <c r="AD10" s="2"/>
      <c r="AG10" s="2"/>
    </row>
    <row r="11" spans="1:33" x14ac:dyDescent="0.3">
      <c r="A11" s="13" t="s">
        <v>26</v>
      </c>
      <c r="B11" s="14">
        <f>Sat_Workshops!F102</f>
        <v>329</v>
      </c>
      <c r="C11" s="184"/>
      <c r="D11" s="184"/>
      <c r="E11" s="5"/>
      <c r="F11" s="14"/>
      <c r="G11" s="14"/>
      <c r="H11" s="14"/>
      <c r="I11" s="14"/>
      <c r="J11" s="14"/>
      <c r="K11" s="73">
        <f>Sat_Workshops!J102</f>
        <v>457.08000000000004</v>
      </c>
      <c r="L11" s="73"/>
      <c r="M11" s="73"/>
      <c r="N11" s="73"/>
      <c r="O11" s="73"/>
      <c r="P11" s="73"/>
      <c r="Q11" s="73"/>
      <c r="R11" s="73"/>
      <c r="S11" s="73"/>
      <c r="T11" s="70">
        <f t="shared" si="0"/>
        <v>-128.08000000000004</v>
      </c>
      <c r="U11" s="23" t="s">
        <v>216</v>
      </c>
      <c r="V11" s="2"/>
      <c r="AC11" s="2"/>
      <c r="AD11" s="2"/>
      <c r="AG11" s="2"/>
    </row>
    <row r="12" spans="1:33" x14ac:dyDescent="0.3">
      <c r="A12" s="13" t="s">
        <v>27</v>
      </c>
      <c r="B12" s="14">
        <f>Sat_Workshops!F116</f>
        <v>471</v>
      </c>
      <c r="C12" s="184"/>
      <c r="D12" s="184"/>
      <c r="E12" s="5"/>
      <c r="F12" s="14"/>
      <c r="G12" s="14"/>
      <c r="H12" s="14"/>
      <c r="I12" s="14"/>
      <c r="J12" s="14"/>
      <c r="K12" s="73">
        <f>Sat_Workshops!J116</f>
        <v>679.56</v>
      </c>
      <c r="L12" s="73"/>
      <c r="M12" s="73"/>
      <c r="N12" s="73"/>
      <c r="O12" s="73"/>
      <c r="P12" s="73"/>
      <c r="Q12" s="73"/>
      <c r="R12" s="73"/>
      <c r="S12" s="73"/>
      <c r="T12" s="70">
        <f t="shared" si="0"/>
        <v>-208.55999999999995</v>
      </c>
      <c r="U12" s="23" t="s">
        <v>217</v>
      </c>
      <c r="V12" s="2"/>
      <c r="AC12" s="2"/>
      <c r="AD12" s="2"/>
      <c r="AG12" s="2"/>
    </row>
    <row r="13" spans="1:33" ht="14.25" customHeight="1" x14ac:dyDescent="0.3">
      <c r="A13" s="13" t="s">
        <v>28</v>
      </c>
      <c r="B13" s="14">
        <f>Sat_Workshops!F128</f>
        <v>0</v>
      </c>
      <c r="C13" s="184"/>
      <c r="D13" s="184"/>
      <c r="E13" s="5"/>
      <c r="F13" s="14"/>
      <c r="G13" s="14"/>
      <c r="H13" s="14"/>
      <c r="I13" s="14"/>
      <c r="J13" s="14"/>
      <c r="K13" s="73">
        <f>Sat_Workshops!J128</f>
        <v>0</v>
      </c>
      <c r="L13" s="73"/>
      <c r="M13" s="73"/>
      <c r="N13" s="73"/>
      <c r="O13" s="73"/>
      <c r="P13" s="73"/>
      <c r="Q13" s="73"/>
      <c r="R13" s="73"/>
      <c r="S13" s="73"/>
      <c r="T13" s="70">
        <f t="shared" si="0"/>
        <v>0</v>
      </c>
      <c r="U13" s="23" t="s">
        <v>190</v>
      </c>
      <c r="V13" s="2"/>
      <c r="AC13" s="2"/>
      <c r="AD13" s="2"/>
      <c r="AG13" s="2"/>
    </row>
    <row r="14" spans="1:33" x14ac:dyDescent="0.3">
      <c r="A14" s="13" t="s">
        <v>527</v>
      </c>
      <c r="B14" s="5"/>
      <c r="C14" s="14">
        <f>Club_G!F44</f>
        <v>0</v>
      </c>
      <c r="D14" s="14"/>
      <c r="E14" s="5"/>
      <c r="F14" s="14"/>
      <c r="G14" s="14"/>
      <c r="H14" s="14"/>
      <c r="I14" s="14"/>
      <c r="J14" s="14"/>
      <c r="K14" s="73"/>
      <c r="L14" s="73">
        <f>Club_G!J44</f>
        <v>2253.19</v>
      </c>
      <c r="M14" s="73"/>
      <c r="N14" s="73"/>
      <c r="O14" s="73"/>
      <c r="P14" s="73"/>
      <c r="Q14" s="73"/>
      <c r="R14" s="73"/>
      <c r="S14" s="73"/>
      <c r="T14" s="70">
        <f t="shared" si="0"/>
        <v>-2253.19</v>
      </c>
      <c r="U14" s="23" t="s">
        <v>763</v>
      </c>
      <c r="V14" s="2"/>
      <c r="AC14" s="2"/>
      <c r="AD14" s="2"/>
      <c r="AG14" s="2"/>
    </row>
    <row r="15" spans="1:33" x14ac:dyDescent="0.3">
      <c r="A15" s="13" t="s">
        <v>527</v>
      </c>
      <c r="B15" s="5"/>
      <c r="C15" s="14"/>
      <c r="D15" s="14">
        <f>Club_D!F44</f>
        <v>170</v>
      </c>
      <c r="E15" s="5"/>
      <c r="F15" s="14"/>
      <c r="G15" s="14"/>
      <c r="H15" s="14"/>
      <c r="I15" s="14"/>
      <c r="J15" s="14"/>
      <c r="K15" s="73"/>
      <c r="L15" s="73"/>
      <c r="M15" s="73">
        <f>Club_D!J44</f>
        <v>696.03</v>
      </c>
      <c r="N15" s="73"/>
      <c r="O15" s="73"/>
      <c r="P15" s="73"/>
      <c r="Q15" s="73"/>
      <c r="R15" s="73"/>
      <c r="S15" s="73"/>
      <c r="T15" s="70">
        <f t="shared" si="0"/>
        <v>-526.03</v>
      </c>
      <c r="U15" s="23" t="s">
        <v>502</v>
      </c>
      <c r="V15" s="2"/>
      <c r="AC15" s="2"/>
      <c r="AD15" s="2"/>
      <c r="AG15" s="2"/>
    </row>
    <row r="16" spans="1:33" x14ac:dyDescent="0.3">
      <c r="A16" s="13" t="s">
        <v>29</v>
      </c>
      <c r="B16" s="5"/>
      <c r="C16" s="184"/>
      <c r="D16" s="184"/>
      <c r="E16" s="14">
        <f>Main_Feis!H19</f>
        <v>7813.0999999999995</v>
      </c>
      <c r="F16" s="14"/>
      <c r="G16" s="14"/>
      <c r="H16" s="14"/>
      <c r="I16" s="14"/>
      <c r="J16" s="14"/>
      <c r="K16" s="73"/>
      <c r="L16" s="73"/>
      <c r="M16" s="73"/>
      <c r="N16" s="73"/>
      <c r="O16" s="73"/>
      <c r="P16" s="73"/>
      <c r="Q16" s="73"/>
      <c r="R16" s="73"/>
      <c r="S16" s="73"/>
      <c r="T16" s="70">
        <f t="shared" si="0"/>
        <v>7813.0999999999995</v>
      </c>
      <c r="U16" s="23" t="s">
        <v>451</v>
      </c>
      <c r="V16" s="160"/>
      <c r="AC16" s="2"/>
      <c r="AD16" s="2"/>
      <c r="AG16" s="2"/>
    </row>
    <row r="17" spans="1:33" ht="26.4" customHeight="1" x14ac:dyDescent="0.3">
      <c r="A17" s="13" t="s">
        <v>29</v>
      </c>
      <c r="B17" s="5"/>
      <c r="C17" s="184"/>
      <c r="D17" s="184"/>
      <c r="E17" s="14">
        <f>Main_Feis!H30</f>
        <v>1266.46</v>
      </c>
      <c r="F17" s="14"/>
      <c r="G17" s="14"/>
      <c r="H17" s="14"/>
      <c r="I17" s="14"/>
      <c r="J17" s="14"/>
      <c r="K17" s="73"/>
      <c r="L17" s="73"/>
      <c r="M17" s="73"/>
      <c r="N17" s="73"/>
      <c r="O17" s="73"/>
      <c r="P17" s="73"/>
      <c r="Q17" s="73"/>
      <c r="R17" s="73"/>
      <c r="S17" s="73"/>
      <c r="T17" s="70">
        <f t="shared" si="0"/>
        <v>1266.46</v>
      </c>
      <c r="U17" s="23" t="s">
        <v>452</v>
      </c>
      <c r="V17" s="160"/>
      <c r="AC17" s="2"/>
      <c r="AD17" s="2"/>
      <c r="AG17" s="2"/>
    </row>
    <row r="18" spans="1:33" ht="28.95" customHeight="1" x14ac:dyDescent="0.3">
      <c r="A18" s="13" t="s">
        <v>29</v>
      </c>
      <c r="B18" s="5"/>
      <c r="C18" s="184"/>
      <c r="D18" s="184"/>
      <c r="E18" s="5"/>
      <c r="F18" s="14"/>
      <c r="G18" s="14"/>
      <c r="H18" s="14"/>
      <c r="I18" s="14"/>
      <c r="J18" s="14"/>
      <c r="K18" s="73"/>
      <c r="L18" s="73"/>
      <c r="M18" s="73"/>
      <c r="N18" s="73">
        <f>Main_Feis!L29</f>
        <v>8069.2399999999989</v>
      </c>
      <c r="O18" s="73"/>
      <c r="P18" s="73"/>
      <c r="Q18" s="73"/>
      <c r="R18" s="73"/>
      <c r="S18" s="73"/>
      <c r="T18" s="70">
        <f t="shared" si="0"/>
        <v>-8069.2399999999989</v>
      </c>
      <c r="U18" s="23" t="s">
        <v>477</v>
      </c>
      <c r="V18" s="160"/>
      <c r="AC18" s="2"/>
      <c r="AD18" s="2"/>
      <c r="AG18" s="2"/>
    </row>
    <row r="19" spans="1:33" ht="29.4" customHeight="1" x14ac:dyDescent="0.3">
      <c r="A19" s="13" t="s">
        <v>30</v>
      </c>
      <c r="B19" s="5"/>
      <c r="C19" s="184"/>
      <c r="D19" s="184"/>
      <c r="E19" s="5"/>
      <c r="F19" s="14"/>
      <c r="G19" s="14"/>
      <c r="H19" s="14"/>
      <c r="I19" s="14"/>
      <c r="J19" s="14"/>
      <c r="K19" s="73"/>
      <c r="L19" s="73"/>
      <c r="M19" s="73"/>
      <c r="N19" s="73">
        <f>Main_Feis!L39</f>
        <v>556.78</v>
      </c>
      <c r="O19" s="73"/>
      <c r="P19" s="73"/>
      <c r="Q19" s="73"/>
      <c r="R19" s="73"/>
      <c r="S19" s="73"/>
      <c r="T19" s="70">
        <f t="shared" si="0"/>
        <v>-556.78</v>
      </c>
      <c r="U19" s="23" t="s">
        <v>478</v>
      </c>
      <c r="V19" s="160"/>
      <c r="AC19" s="2"/>
      <c r="AD19" s="2"/>
      <c r="AG19" s="2"/>
    </row>
    <row r="20" spans="1:33" x14ac:dyDescent="0.3">
      <c r="A20" s="13" t="s">
        <v>319</v>
      </c>
      <c r="B20" s="5"/>
      <c r="C20" s="184"/>
      <c r="D20" s="184"/>
      <c r="E20" s="5"/>
      <c r="F20" s="14">
        <f>'Seinn Coisir Ceol'!G9</f>
        <v>240</v>
      </c>
      <c r="G20" s="14"/>
      <c r="H20" s="14"/>
      <c r="I20" s="14"/>
      <c r="J20" s="14"/>
      <c r="K20" s="73"/>
      <c r="L20" s="73"/>
      <c r="M20" s="73"/>
      <c r="N20" s="73"/>
      <c r="O20" s="73"/>
      <c r="P20" s="73"/>
      <c r="Q20" s="73"/>
      <c r="R20" s="73"/>
      <c r="S20" s="73"/>
      <c r="T20" s="70">
        <f t="shared" si="0"/>
        <v>240</v>
      </c>
      <c r="U20" s="23" t="s">
        <v>743</v>
      </c>
      <c r="V20" s="2"/>
      <c r="AC20" s="2"/>
      <c r="AD20" s="2"/>
      <c r="AG20" s="2"/>
    </row>
    <row r="21" spans="1:33" x14ac:dyDescent="0.3">
      <c r="A21" s="13" t="s">
        <v>320</v>
      </c>
      <c r="B21" s="5"/>
      <c r="C21" s="184"/>
      <c r="D21" s="184"/>
      <c r="E21" s="5"/>
      <c r="F21" s="14">
        <f>'Seinn Coisir Ceol'!G27</f>
        <v>501</v>
      </c>
      <c r="G21" s="14"/>
      <c r="H21" s="14"/>
      <c r="I21" s="14"/>
      <c r="J21" s="14"/>
      <c r="K21" s="73"/>
      <c r="L21" s="73"/>
      <c r="M21" s="73"/>
      <c r="N21" s="73"/>
      <c r="O21" s="73"/>
      <c r="P21" s="73"/>
      <c r="Q21" s="73"/>
      <c r="R21" s="73"/>
      <c r="S21" s="73"/>
      <c r="T21" s="70">
        <f t="shared" ref="T21:T28" si="1">SUM(B21:J21)-SUM(K21:S21)</f>
        <v>501</v>
      </c>
      <c r="U21" s="23" t="s">
        <v>744</v>
      </c>
      <c r="V21" s="2"/>
      <c r="AC21" s="2"/>
      <c r="AD21" s="2"/>
      <c r="AG21" s="2"/>
    </row>
    <row r="22" spans="1:33" x14ac:dyDescent="0.3">
      <c r="A22" s="13" t="s">
        <v>317</v>
      </c>
      <c r="B22" s="5"/>
      <c r="C22" s="184"/>
      <c r="D22" s="184"/>
      <c r="E22" s="5"/>
      <c r="F22" s="14">
        <f>'Seinn Coisir Ceol'!G50</f>
        <v>769.5</v>
      </c>
      <c r="G22" s="14"/>
      <c r="H22" s="14"/>
      <c r="I22" s="14"/>
      <c r="J22" s="14"/>
      <c r="K22" s="73"/>
      <c r="L22" s="73"/>
      <c r="M22" s="73"/>
      <c r="N22" s="73"/>
      <c r="O22" s="73"/>
      <c r="P22" s="73"/>
      <c r="Q22" s="73"/>
      <c r="R22" s="73"/>
      <c r="S22" s="73"/>
      <c r="T22" s="70">
        <f t="shared" si="1"/>
        <v>769.5</v>
      </c>
      <c r="U22" s="23" t="s">
        <v>745</v>
      </c>
      <c r="V22" s="2"/>
      <c r="AC22" s="2"/>
      <c r="AD22" s="2"/>
      <c r="AG22" s="2"/>
    </row>
    <row r="23" spans="1:33" x14ac:dyDescent="0.3">
      <c r="A23" s="13" t="s">
        <v>318</v>
      </c>
      <c r="B23" s="5"/>
      <c r="C23" s="184"/>
      <c r="D23" s="184"/>
      <c r="E23" s="5"/>
      <c r="F23" s="14">
        <f>'Seinn Coisir Ceol'!G77</f>
        <v>417</v>
      </c>
      <c r="G23" s="14"/>
      <c r="H23" s="14"/>
      <c r="I23" s="14"/>
      <c r="J23" s="14"/>
      <c r="K23" s="73"/>
      <c r="L23" s="73"/>
      <c r="M23" s="73"/>
      <c r="N23" s="73"/>
      <c r="O23" s="73"/>
      <c r="P23" s="73"/>
      <c r="Q23" s="73"/>
      <c r="R23" s="73"/>
      <c r="S23" s="73"/>
      <c r="T23" s="70">
        <f t="shared" si="1"/>
        <v>417</v>
      </c>
      <c r="U23" s="23" t="s">
        <v>746</v>
      </c>
      <c r="V23" s="2"/>
      <c r="AC23" s="2"/>
      <c r="AD23" s="2"/>
      <c r="AG23" s="2"/>
    </row>
    <row r="24" spans="1:33" x14ac:dyDescent="0.3">
      <c r="A24" s="13" t="s">
        <v>319</v>
      </c>
      <c r="B24" s="5"/>
      <c r="C24" s="184"/>
      <c r="D24" s="184"/>
      <c r="E24" s="5"/>
      <c r="F24" s="14">
        <f>'Seinn Coisir Ceol'!G14</f>
        <v>522</v>
      </c>
      <c r="G24" s="14"/>
      <c r="H24" s="14"/>
      <c r="I24" s="14"/>
      <c r="J24" s="14"/>
      <c r="K24" s="73"/>
      <c r="L24" s="73"/>
      <c r="M24" s="73"/>
      <c r="N24" s="73"/>
      <c r="O24" s="73"/>
      <c r="P24" s="73"/>
      <c r="Q24" s="73"/>
      <c r="R24" s="73"/>
      <c r="S24" s="73"/>
      <c r="T24" s="70">
        <f t="shared" si="1"/>
        <v>522</v>
      </c>
      <c r="U24" s="23" t="s">
        <v>747</v>
      </c>
      <c r="V24" s="2"/>
      <c r="AC24" s="2"/>
      <c r="AD24" s="2"/>
      <c r="AG24" s="2"/>
    </row>
    <row r="25" spans="1:33" x14ac:dyDescent="0.3">
      <c r="A25" s="13" t="s">
        <v>320</v>
      </c>
      <c r="B25" s="5"/>
      <c r="C25" s="184"/>
      <c r="D25" s="184"/>
      <c r="E25" s="5"/>
      <c r="F25" s="14">
        <f>'Seinn Coisir Ceol'!G32</f>
        <v>786</v>
      </c>
      <c r="G25" s="14"/>
      <c r="H25" s="14"/>
      <c r="I25" s="14"/>
      <c r="J25" s="14"/>
      <c r="K25" s="73"/>
      <c r="L25" s="73"/>
      <c r="M25" s="73"/>
      <c r="N25" s="73"/>
      <c r="O25" s="73"/>
      <c r="P25" s="73"/>
      <c r="Q25" s="73"/>
      <c r="R25" s="73"/>
      <c r="S25" s="73"/>
      <c r="T25" s="70">
        <f t="shared" si="1"/>
        <v>786</v>
      </c>
      <c r="U25" s="23" t="s">
        <v>748</v>
      </c>
      <c r="V25" s="2"/>
      <c r="AC25" s="2"/>
      <c r="AD25" s="2"/>
      <c r="AG25" s="2"/>
    </row>
    <row r="26" spans="1:33" x14ac:dyDescent="0.3">
      <c r="A26" s="13" t="s">
        <v>317</v>
      </c>
      <c r="B26" s="5"/>
      <c r="C26" s="184"/>
      <c r="D26" s="184"/>
      <c r="E26" s="5"/>
      <c r="F26" s="14">
        <f>'Seinn Coisir Ceol'!G56</f>
        <v>1149</v>
      </c>
      <c r="G26" s="14"/>
      <c r="H26" s="14"/>
      <c r="I26" s="14"/>
      <c r="J26" s="14"/>
      <c r="K26" s="73"/>
      <c r="L26" s="73"/>
      <c r="M26" s="73"/>
      <c r="N26" s="73"/>
      <c r="O26" s="73"/>
      <c r="P26" s="73"/>
      <c r="Q26" s="73"/>
      <c r="R26" s="73"/>
      <c r="S26" s="73"/>
      <c r="T26" s="70">
        <f t="shared" si="1"/>
        <v>1149</v>
      </c>
      <c r="U26" s="23" t="s">
        <v>749</v>
      </c>
      <c r="V26" s="2"/>
      <c r="AC26" s="2"/>
      <c r="AD26" s="2"/>
      <c r="AG26" s="2"/>
    </row>
    <row r="27" spans="1:33" x14ac:dyDescent="0.3">
      <c r="A27" s="13" t="s">
        <v>318</v>
      </c>
      <c r="B27" s="5"/>
      <c r="C27" s="184"/>
      <c r="D27" s="184"/>
      <c r="E27" s="5"/>
      <c r="F27" s="14">
        <f>'Seinn Coisir Ceol'!G82</f>
        <v>544.5</v>
      </c>
      <c r="G27" s="14"/>
      <c r="H27" s="14"/>
      <c r="I27" s="14"/>
      <c r="J27" s="14"/>
      <c r="K27" s="73"/>
      <c r="L27" s="73"/>
      <c r="M27" s="73"/>
      <c r="N27" s="73"/>
      <c r="O27" s="73"/>
      <c r="P27" s="73"/>
      <c r="Q27" s="73"/>
      <c r="R27" s="73"/>
      <c r="S27" s="73"/>
      <c r="T27" s="70">
        <f t="shared" si="1"/>
        <v>544.5</v>
      </c>
      <c r="U27" s="23" t="s">
        <v>750</v>
      </c>
      <c r="V27" s="2"/>
      <c r="AC27" s="2"/>
      <c r="AD27" s="2"/>
      <c r="AG27" s="2"/>
    </row>
    <row r="28" spans="1:33" ht="12.6" customHeight="1" x14ac:dyDescent="0.3">
      <c r="A28" s="13" t="s">
        <v>742</v>
      </c>
      <c r="B28" s="5"/>
      <c r="C28" s="184"/>
      <c r="D28" s="184"/>
      <c r="E28" s="5"/>
      <c r="F28" s="14">
        <f>'Seinn Coisir Ceol'!F100</f>
        <v>18</v>
      </c>
      <c r="G28" s="14"/>
      <c r="H28" s="14"/>
      <c r="I28" s="14"/>
      <c r="J28" s="14"/>
      <c r="K28" s="73"/>
      <c r="L28" s="73"/>
      <c r="M28" s="73"/>
      <c r="N28" s="73"/>
      <c r="O28" s="73"/>
      <c r="P28" s="73"/>
      <c r="Q28" s="73"/>
      <c r="R28" s="73"/>
      <c r="S28" s="73"/>
      <c r="T28" s="70">
        <f t="shared" si="1"/>
        <v>18</v>
      </c>
      <c r="U28" s="23" t="s">
        <v>751</v>
      </c>
      <c r="V28" s="2"/>
      <c r="AC28" s="2"/>
      <c r="AD28" s="2"/>
      <c r="AG28" s="2"/>
    </row>
    <row r="29" spans="1:33" x14ac:dyDescent="0.3">
      <c r="A29" s="13" t="s">
        <v>319</v>
      </c>
      <c r="B29" s="5"/>
      <c r="C29" s="184"/>
      <c r="D29" s="184"/>
      <c r="E29" s="5"/>
      <c r="F29" s="14">
        <f>'Seinn Coisir Ceol'!G18</f>
        <v>279</v>
      </c>
      <c r="G29" s="14"/>
      <c r="H29" s="14"/>
      <c r="I29" s="14"/>
      <c r="J29" s="14"/>
      <c r="K29" s="73"/>
      <c r="L29" s="73"/>
      <c r="M29" s="73"/>
      <c r="N29" s="73"/>
      <c r="O29" s="73"/>
      <c r="P29" s="73"/>
      <c r="Q29" s="73"/>
      <c r="R29" s="73"/>
      <c r="S29" s="73"/>
      <c r="T29" s="70">
        <f t="shared" si="0"/>
        <v>279</v>
      </c>
      <c r="U29" s="23" t="s">
        <v>752</v>
      </c>
      <c r="V29" s="2"/>
      <c r="AC29" s="2"/>
      <c r="AD29" s="2"/>
      <c r="AG29" s="2"/>
    </row>
    <row r="30" spans="1:33" x14ac:dyDescent="0.3">
      <c r="A30" s="13" t="s">
        <v>320</v>
      </c>
      <c r="B30" s="5"/>
      <c r="C30" s="184"/>
      <c r="D30" s="184"/>
      <c r="E30" s="5"/>
      <c r="F30" s="14">
        <f>'Seinn Coisir Ceol'!G37</f>
        <v>530</v>
      </c>
      <c r="G30" s="14"/>
      <c r="H30" s="14"/>
      <c r="I30" s="14"/>
      <c r="J30" s="14"/>
      <c r="K30" s="73"/>
      <c r="L30" s="73"/>
      <c r="M30" s="73"/>
      <c r="N30" s="73"/>
      <c r="O30" s="73"/>
      <c r="P30" s="73"/>
      <c r="Q30" s="73"/>
      <c r="R30" s="73"/>
      <c r="S30" s="73"/>
      <c r="T30" s="70">
        <f t="shared" si="0"/>
        <v>530</v>
      </c>
      <c r="U30" s="23" t="s">
        <v>753</v>
      </c>
      <c r="V30" s="2"/>
      <c r="AC30" s="2"/>
      <c r="AD30" s="2"/>
      <c r="AG30" s="2"/>
    </row>
    <row r="31" spans="1:33" x14ac:dyDescent="0.3">
      <c r="A31" s="13" t="s">
        <v>317</v>
      </c>
      <c r="B31" s="5"/>
      <c r="C31" s="184"/>
      <c r="D31" s="184"/>
      <c r="E31" s="5"/>
      <c r="F31" s="14">
        <f>'Seinn Coisir Ceol'!G61</f>
        <v>747</v>
      </c>
      <c r="G31" s="14"/>
      <c r="H31" s="14"/>
      <c r="I31" s="14"/>
      <c r="J31" s="14"/>
      <c r="K31" s="73"/>
      <c r="L31" s="73"/>
      <c r="M31" s="73"/>
      <c r="N31" s="73"/>
      <c r="O31" s="73"/>
      <c r="P31" s="73"/>
      <c r="Q31" s="73"/>
      <c r="R31" s="73"/>
      <c r="S31" s="73"/>
      <c r="T31" s="70">
        <f t="shared" si="0"/>
        <v>747</v>
      </c>
      <c r="U31" s="23" t="s">
        <v>754</v>
      </c>
      <c r="V31" s="2"/>
      <c r="AC31" s="2"/>
      <c r="AD31" s="2"/>
      <c r="AG31" s="2"/>
    </row>
    <row r="32" spans="1:33" ht="12.6" customHeight="1" x14ac:dyDescent="0.3">
      <c r="A32" s="13" t="s">
        <v>318</v>
      </c>
      <c r="B32" s="5"/>
      <c r="C32" s="184"/>
      <c r="D32" s="184"/>
      <c r="E32" s="5"/>
      <c r="F32" s="14">
        <f>'Seinn Coisir Ceol'!G88</f>
        <v>406.5</v>
      </c>
      <c r="G32" s="14"/>
      <c r="H32" s="14"/>
      <c r="I32" s="14"/>
      <c r="J32" s="14"/>
      <c r="K32" s="73"/>
      <c r="L32" s="73"/>
      <c r="M32" s="73"/>
      <c r="N32" s="73"/>
      <c r="O32" s="73"/>
      <c r="P32" s="73"/>
      <c r="Q32" s="73"/>
      <c r="R32" s="73"/>
      <c r="S32" s="73"/>
      <c r="T32" s="70">
        <f t="shared" si="0"/>
        <v>406.5</v>
      </c>
      <c r="U32" s="23" t="s">
        <v>755</v>
      </c>
      <c r="V32" s="2"/>
      <c r="AC32" s="2"/>
      <c r="AD32" s="2"/>
      <c r="AG32" s="2"/>
    </row>
    <row r="33" spans="1:33" ht="12.6" customHeight="1" x14ac:dyDescent="0.3">
      <c r="A33" s="13" t="s">
        <v>319</v>
      </c>
      <c r="B33" s="5"/>
      <c r="C33" s="184"/>
      <c r="D33" s="184"/>
      <c r="E33" s="5"/>
      <c r="F33" s="14"/>
      <c r="G33" s="14"/>
      <c r="H33" s="14"/>
      <c r="I33" s="14"/>
      <c r="J33" s="14"/>
      <c r="K33" s="73"/>
      <c r="L33" s="73"/>
      <c r="M33" s="73"/>
      <c r="N33" s="73"/>
      <c r="O33" s="73">
        <f>'Seinn Coisir Ceol'!J21</f>
        <v>693</v>
      </c>
      <c r="P33" s="73"/>
      <c r="Q33" s="73"/>
      <c r="R33" s="73"/>
      <c r="S33" s="73"/>
      <c r="T33" s="70">
        <f t="shared" si="0"/>
        <v>-693</v>
      </c>
      <c r="U33" s="23" t="s">
        <v>756</v>
      </c>
      <c r="V33" s="2"/>
      <c r="AC33" s="2"/>
      <c r="AD33" s="2"/>
      <c r="AG33" s="2"/>
    </row>
    <row r="34" spans="1:33" x14ac:dyDescent="0.3">
      <c r="A34" s="13" t="s">
        <v>320</v>
      </c>
      <c r="B34" s="5"/>
      <c r="C34" s="184"/>
      <c r="D34" s="184"/>
      <c r="E34" s="5"/>
      <c r="F34" s="14"/>
      <c r="G34" s="14"/>
      <c r="H34" s="14"/>
      <c r="I34" s="14"/>
      <c r="J34" s="14"/>
      <c r="K34" s="73"/>
      <c r="L34" s="73"/>
      <c r="M34" s="73"/>
      <c r="N34" s="73"/>
      <c r="O34" s="73">
        <f>'Seinn Coisir Ceol'!J41</f>
        <v>1425.06</v>
      </c>
      <c r="P34" s="73"/>
      <c r="Q34" s="73"/>
      <c r="R34" s="73"/>
      <c r="S34" s="73"/>
      <c r="T34" s="70">
        <f t="shared" ref="T34:T36" si="2">SUM(B34:J34)-SUM(K34:S34)</f>
        <v>-1425.06</v>
      </c>
      <c r="U34" s="23" t="s">
        <v>757</v>
      </c>
      <c r="V34" s="2"/>
      <c r="AC34" s="2"/>
      <c r="AD34" s="2"/>
      <c r="AG34" s="2"/>
    </row>
    <row r="35" spans="1:33" x14ac:dyDescent="0.3">
      <c r="A35" s="13" t="s">
        <v>317</v>
      </c>
      <c r="B35" s="5"/>
      <c r="C35" s="184"/>
      <c r="D35" s="184"/>
      <c r="E35" s="5"/>
      <c r="F35" s="14"/>
      <c r="G35" s="14"/>
      <c r="H35" s="14"/>
      <c r="I35" s="14"/>
      <c r="J35" s="14"/>
      <c r="K35" s="73"/>
      <c r="L35" s="73"/>
      <c r="M35" s="73"/>
      <c r="N35" s="73"/>
      <c r="O35" s="73">
        <f>'Seinn Coisir Ceol'!J71</f>
        <v>1694</v>
      </c>
      <c r="P35" s="73"/>
      <c r="Q35" s="73"/>
      <c r="R35" s="73"/>
      <c r="S35" s="73"/>
      <c r="T35" s="70">
        <f t="shared" si="2"/>
        <v>-1694</v>
      </c>
      <c r="U35" s="23" t="s">
        <v>758</v>
      </c>
      <c r="V35" s="2"/>
      <c r="AC35" s="2"/>
      <c r="AD35" s="2"/>
      <c r="AG35" s="2"/>
    </row>
    <row r="36" spans="1:33" x14ac:dyDescent="0.3">
      <c r="A36" s="13" t="s">
        <v>318</v>
      </c>
      <c r="B36" s="5"/>
      <c r="C36" s="184"/>
      <c r="D36" s="184"/>
      <c r="E36" s="5"/>
      <c r="F36" s="14"/>
      <c r="G36" s="14"/>
      <c r="H36" s="14"/>
      <c r="I36" s="14"/>
      <c r="J36" s="14"/>
      <c r="K36" s="73"/>
      <c r="L36" s="73"/>
      <c r="M36" s="73"/>
      <c r="N36" s="73"/>
      <c r="O36" s="73">
        <f>'Seinn Coisir Ceol'!J91</f>
        <v>1696.77</v>
      </c>
      <c r="P36" s="73"/>
      <c r="Q36" s="73"/>
      <c r="R36" s="73"/>
      <c r="S36" s="73"/>
      <c r="T36" s="70">
        <f t="shared" si="2"/>
        <v>-1696.77</v>
      </c>
      <c r="U36" s="23" t="s">
        <v>759</v>
      </c>
      <c r="V36" s="2"/>
      <c r="AC36" s="2"/>
      <c r="AD36" s="2"/>
      <c r="AG36" s="2"/>
    </row>
    <row r="37" spans="1:33" x14ac:dyDescent="0.3">
      <c r="A37" s="13" t="s">
        <v>19</v>
      </c>
      <c r="B37" s="15"/>
      <c r="C37" s="185"/>
      <c r="D37" s="185"/>
      <c r="E37" s="15"/>
      <c r="F37" s="14"/>
      <c r="G37" s="14">
        <f>Instruments!E13</f>
        <v>15</v>
      </c>
      <c r="H37" s="14"/>
      <c r="I37" s="14"/>
      <c r="J37" s="14"/>
      <c r="K37" s="73"/>
      <c r="L37" s="73"/>
      <c r="M37" s="73"/>
      <c r="N37" s="73"/>
      <c r="O37" s="73"/>
      <c r="P37" s="73">
        <f>Instruments!I13</f>
        <v>0</v>
      </c>
      <c r="Q37" s="73"/>
      <c r="R37" s="73"/>
      <c r="S37" s="73"/>
      <c r="T37" s="70">
        <f t="shared" si="0"/>
        <v>15</v>
      </c>
      <c r="U37" s="23" t="s">
        <v>155</v>
      </c>
      <c r="V37" s="2"/>
      <c r="AC37" s="2"/>
      <c r="AD37" s="2"/>
      <c r="AG37" s="2"/>
    </row>
    <row r="38" spans="1:33" x14ac:dyDescent="0.3">
      <c r="A38" s="13" t="s">
        <v>20</v>
      </c>
      <c r="B38" s="5"/>
      <c r="C38" s="184"/>
      <c r="D38" s="184"/>
      <c r="E38" s="5"/>
      <c r="F38" s="14"/>
      <c r="G38" s="14">
        <f>Instruments!E21</f>
        <v>15</v>
      </c>
      <c r="H38" s="14"/>
      <c r="I38" s="19"/>
      <c r="J38" s="19"/>
      <c r="K38" s="73"/>
      <c r="L38" s="73"/>
      <c r="M38" s="73"/>
      <c r="N38" s="73"/>
      <c r="O38" s="73"/>
      <c r="P38" s="73">
        <f>Instruments!I21</f>
        <v>0</v>
      </c>
      <c r="Q38" s="73"/>
      <c r="R38" s="73"/>
      <c r="S38" s="73"/>
      <c r="T38" s="70">
        <f t="shared" si="0"/>
        <v>15</v>
      </c>
      <c r="U38" s="23" t="s">
        <v>155</v>
      </c>
      <c r="V38" s="2"/>
      <c r="AC38" s="2"/>
      <c r="AD38" s="2"/>
      <c r="AG38" s="2"/>
    </row>
    <row r="39" spans="1:33" x14ac:dyDescent="0.3">
      <c r="A39" s="13" t="s">
        <v>21</v>
      </c>
      <c r="B39" s="15"/>
      <c r="C39" s="185"/>
      <c r="D39" s="185"/>
      <c r="E39" s="15"/>
      <c r="F39" s="14"/>
      <c r="G39" s="14">
        <f>Instruments!E29</f>
        <v>1</v>
      </c>
      <c r="H39" s="14"/>
      <c r="I39" s="14"/>
      <c r="J39" s="14"/>
      <c r="K39" s="73"/>
      <c r="L39" s="73"/>
      <c r="M39" s="73"/>
      <c r="N39" s="73"/>
      <c r="O39" s="73"/>
      <c r="P39" s="73">
        <f>Instruments!I29</f>
        <v>0</v>
      </c>
      <c r="Q39" s="73"/>
      <c r="R39" s="73"/>
      <c r="S39" s="73"/>
      <c r="T39" s="70">
        <f t="shared" si="0"/>
        <v>1</v>
      </c>
      <c r="U39" s="23" t="s">
        <v>155</v>
      </c>
      <c r="V39" s="2"/>
      <c r="AC39" s="2"/>
      <c r="AD39" s="2"/>
      <c r="AG39" s="2"/>
    </row>
    <row r="40" spans="1:33" x14ac:dyDescent="0.3">
      <c r="A40" s="13" t="s">
        <v>22</v>
      </c>
      <c r="B40" s="5"/>
      <c r="C40" s="184"/>
      <c r="D40" s="184"/>
      <c r="E40" s="5"/>
      <c r="F40" s="14"/>
      <c r="G40" s="14">
        <f>Instruments!E38</f>
        <v>0</v>
      </c>
      <c r="H40" s="14"/>
      <c r="I40" s="14"/>
      <c r="J40" s="14"/>
      <c r="K40" s="73"/>
      <c r="L40" s="73"/>
      <c r="M40" s="73"/>
      <c r="N40" s="73"/>
      <c r="O40" s="73"/>
      <c r="P40" s="73">
        <f>Instruments!I38</f>
        <v>0</v>
      </c>
      <c r="Q40" s="73"/>
      <c r="R40" s="73"/>
      <c r="S40" s="73"/>
      <c r="T40" s="70">
        <f t="shared" si="0"/>
        <v>0</v>
      </c>
      <c r="U40" s="23" t="s">
        <v>155</v>
      </c>
      <c r="V40" s="2"/>
      <c r="AC40" s="2"/>
      <c r="AD40" s="2"/>
      <c r="AG40" s="2"/>
    </row>
    <row r="41" spans="1:33" x14ac:dyDescent="0.3">
      <c r="A41" s="13" t="s">
        <v>23</v>
      </c>
      <c r="B41" s="15"/>
      <c r="C41" s="185"/>
      <c r="D41" s="185"/>
      <c r="E41" s="15"/>
      <c r="F41" s="14"/>
      <c r="G41" s="14">
        <f>Instruments!E47</f>
        <v>0</v>
      </c>
      <c r="H41" s="14"/>
      <c r="I41" s="14"/>
      <c r="J41" s="14"/>
      <c r="K41" s="73"/>
      <c r="L41" s="73"/>
      <c r="M41" s="73"/>
      <c r="N41" s="73"/>
      <c r="O41" s="73"/>
      <c r="P41" s="73">
        <f>Instruments!I47</f>
        <v>0</v>
      </c>
      <c r="Q41" s="73"/>
      <c r="R41" s="73"/>
      <c r="S41" s="73"/>
      <c r="T41" s="70">
        <f t="shared" si="0"/>
        <v>0</v>
      </c>
      <c r="U41" s="23" t="s">
        <v>155</v>
      </c>
      <c r="V41" s="2"/>
      <c r="AC41" s="2"/>
      <c r="AD41" s="2"/>
      <c r="AG41" s="2"/>
    </row>
    <row r="42" spans="1:33" x14ac:dyDescent="0.3">
      <c r="A42" s="13" t="s">
        <v>24</v>
      </c>
      <c r="B42" s="5"/>
      <c r="C42" s="184"/>
      <c r="D42" s="184"/>
      <c r="E42" s="5"/>
      <c r="F42" s="14"/>
      <c r="G42" s="14">
        <f>Instruments!E55</f>
        <v>0</v>
      </c>
      <c r="H42" s="14"/>
      <c r="I42" s="14"/>
      <c r="J42" s="14"/>
      <c r="K42" s="73"/>
      <c r="L42" s="73"/>
      <c r="M42" s="73"/>
      <c r="N42" s="73"/>
      <c r="O42" s="73"/>
      <c r="P42" s="73">
        <f>Instruments!I55</f>
        <v>0</v>
      </c>
      <c r="Q42" s="73"/>
      <c r="R42" s="73"/>
      <c r="S42" s="73"/>
      <c r="T42" s="70">
        <f t="shared" si="0"/>
        <v>0</v>
      </c>
      <c r="U42" s="23" t="s">
        <v>155</v>
      </c>
      <c r="V42" s="2"/>
      <c r="AC42" s="2"/>
      <c r="AD42" s="2"/>
      <c r="AG42" s="2"/>
    </row>
    <row r="43" spans="1:33" x14ac:dyDescent="0.3">
      <c r="A43" s="13" t="s">
        <v>25</v>
      </c>
      <c r="B43" s="15"/>
      <c r="C43" s="185"/>
      <c r="D43" s="185"/>
      <c r="E43" s="15"/>
      <c r="F43" s="14"/>
      <c r="G43" s="14">
        <f>Instruments!E65</f>
        <v>0</v>
      </c>
      <c r="H43" s="14"/>
      <c r="I43" s="19"/>
      <c r="J43" s="19"/>
      <c r="K43" s="73"/>
      <c r="L43" s="73"/>
      <c r="M43" s="73"/>
      <c r="N43" s="73"/>
      <c r="O43" s="73"/>
      <c r="P43" s="73">
        <f>Instruments!I65</f>
        <v>0</v>
      </c>
      <c r="Q43" s="73"/>
      <c r="R43" s="73"/>
      <c r="S43" s="73"/>
      <c r="T43" s="70">
        <f t="shared" si="0"/>
        <v>0</v>
      </c>
      <c r="U43" s="23" t="s">
        <v>155</v>
      </c>
      <c r="V43" s="2"/>
      <c r="AC43" s="2"/>
      <c r="AD43" s="2"/>
      <c r="AG43" s="2"/>
    </row>
    <row r="44" spans="1:33" x14ac:dyDescent="0.3">
      <c r="A44" s="13" t="s">
        <v>26</v>
      </c>
      <c r="B44" s="5"/>
      <c r="C44" s="184"/>
      <c r="D44" s="184"/>
      <c r="E44" s="5"/>
      <c r="F44" s="14"/>
      <c r="G44" s="14">
        <f>Instruments!E75</f>
        <v>0</v>
      </c>
      <c r="H44" s="14"/>
      <c r="I44" s="19"/>
      <c r="J44" s="19"/>
      <c r="K44" s="73"/>
      <c r="L44" s="73"/>
      <c r="M44" s="73"/>
      <c r="N44" s="73"/>
      <c r="O44" s="73"/>
      <c r="P44" s="73">
        <f>Instruments!I75</f>
        <v>0</v>
      </c>
      <c r="Q44" s="73"/>
      <c r="R44" s="73"/>
      <c r="S44" s="73"/>
      <c r="T44" s="70">
        <f t="shared" si="0"/>
        <v>0</v>
      </c>
      <c r="U44" s="23" t="s">
        <v>155</v>
      </c>
      <c r="V44" s="2"/>
      <c r="AC44" s="2"/>
      <c r="AD44" s="2"/>
      <c r="AG44" s="2"/>
    </row>
    <row r="45" spans="1:33" x14ac:dyDescent="0.3">
      <c r="A45" s="13" t="s">
        <v>27</v>
      </c>
      <c r="B45" s="15"/>
      <c r="C45" s="185"/>
      <c r="D45" s="185"/>
      <c r="E45" s="15"/>
      <c r="F45" s="14"/>
      <c r="G45" s="14">
        <f>Instruments!E85</f>
        <v>1</v>
      </c>
      <c r="H45" s="14"/>
      <c r="I45" s="19"/>
      <c r="J45" s="19"/>
      <c r="K45" s="73"/>
      <c r="L45" s="73"/>
      <c r="M45" s="73"/>
      <c r="N45" s="73"/>
      <c r="O45" s="73"/>
      <c r="P45" s="73">
        <f>Instruments!I85</f>
        <v>0</v>
      </c>
      <c r="Q45" s="73"/>
      <c r="R45" s="73"/>
      <c r="S45" s="73"/>
      <c r="T45" s="70">
        <f t="shared" si="0"/>
        <v>1</v>
      </c>
      <c r="U45" s="23" t="s">
        <v>155</v>
      </c>
      <c r="V45" s="2"/>
      <c r="AC45" s="2"/>
      <c r="AD45" s="2"/>
      <c r="AG45" s="2"/>
    </row>
    <row r="46" spans="1:33" x14ac:dyDescent="0.3">
      <c r="A46" s="13" t="s">
        <v>28</v>
      </c>
      <c r="B46" s="5"/>
      <c r="C46" s="184"/>
      <c r="D46" s="184"/>
      <c r="E46" s="5"/>
      <c r="F46" s="14"/>
      <c r="G46" s="14">
        <f>Instruments!E95</f>
        <v>75</v>
      </c>
      <c r="H46" s="14"/>
      <c r="I46" s="14"/>
      <c r="J46" s="14"/>
      <c r="K46" s="73"/>
      <c r="L46" s="73"/>
      <c r="M46" s="73"/>
      <c r="N46" s="73"/>
      <c r="O46" s="73"/>
      <c r="P46" s="73">
        <f>Instruments!I95</f>
        <v>0</v>
      </c>
      <c r="Q46" s="73"/>
      <c r="R46" s="73"/>
      <c r="S46" s="73"/>
      <c r="T46" s="70">
        <f t="shared" si="0"/>
        <v>75</v>
      </c>
      <c r="U46" s="23" t="s">
        <v>155</v>
      </c>
      <c r="V46" s="2"/>
      <c r="AC46" s="2"/>
      <c r="AD46" s="2"/>
      <c r="AG46" s="2"/>
    </row>
    <row r="47" spans="1:33" x14ac:dyDescent="0.3">
      <c r="A47" s="13" t="s">
        <v>29</v>
      </c>
      <c r="B47" s="15"/>
      <c r="C47" s="185"/>
      <c r="D47" s="185"/>
      <c r="E47" s="15"/>
      <c r="F47" s="14"/>
      <c r="G47" s="14">
        <f>Instruments!E105</f>
        <v>15</v>
      </c>
      <c r="H47" s="14"/>
      <c r="I47" s="14"/>
      <c r="J47" s="14"/>
      <c r="K47" s="73"/>
      <c r="L47" s="73"/>
      <c r="M47" s="73"/>
      <c r="N47" s="73"/>
      <c r="O47" s="73"/>
      <c r="P47" s="73">
        <f>Instruments!I105</f>
        <v>0</v>
      </c>
      <c r="Q47" s="73"/>
      <c r="R47" s="73"/>
      <c r="S47" s="73"/>
      <c r="T47" s="70">
        <f t="shared" si="0"/>
        <v>15</v>
      </c>
      <c r="U47" s="23" t="s">
        <v>155</v>
      </c>
      <c r="V47" s="2"/>
      <c r="AC47" s="2"/>
      <c r="AD47" s="2"/>
      <c r="AG47" s="2"/>
    </row>
    <row r="48" spans="1:33" x14ac:dyDescent="0.3">
      <c r="A48" s="13" t="s">
        <v>30</v>
      </c>
      <c r="B48" s="5"/>
      <c r="C48" s="184"/>
      <c r="D48" s="184"/>
      <c r="E48" s="5"/>
      <c r="F48" s="14"/>
      <c r="G48" s="14">
        <f>Instruments!E115</f>
        <v>15</v>
      </c>
      <c r="H48" s="14"/>
      <c r="I48" s="14"/>
      <c r="J48" s="14"/>
      <c r="K48" s="73"/>
      <c r="L48" s="73"/>
      <c r="M48" s="73"/>
      <c r="N48" s="73"/>
      <c r="O48" s="73"/>
      <c r="P48" s="73">
        <f>Instruments!I115</f>
        <v>0</v>
      </c>
      <c r="Q48" s="73"/>
      <c r="R48" s="73"/>
      <c r="S48" s="73"/>
      <c r="T48" s="70">
        <f t="shared" ref="T48:T67" si="3">SUM(B48:J48)-SUM(K48:S48)</f>
        <v>15</v>
      </c>
      <c r="U48" s="23" t="s">
        <v>155</v>
      </c>
      <c r="V48" s="2"/>
      <c r="AC48" s="2"/>
      <c r="AD48" s="2"/>
      <c r="AG48" s="2"/>
    </row>
    <row r="49" spans="1:33" x14ac:dyDescent="0.3">
      <c r="A49" s="13" t="s">
        <v>136</v>
      </c>
      <c r="B49" s="5"/>
      <c r="C49" s="184"/>
      <c r="D49" s="184"/>
      <c r="E49" s="5"/>
      <c r="F49" s="14"/>
      <c r="G49" s="14"/>
      <c r="H49" s="14">
        <f>Grants!D9</f>
        <v>3375</v>
      </c>
      <c r="I49" s="14"/>
      <c r="J49" s="14"/>
      <c r="K49" s="73"/>
      <c r="L49" s="73"/>
      <c r="M49" s="73"/>
      <c r="N49" s="73"/>
      <c r="O49" s="73"/>
      <c r="P49" s="73"/>
      <c r="Q49" s="14">
        <f>Grants!H9</f>
        <v>0</v>
      </c>
      <c r="R49" s="73"/>
      <c r="S49" s="73"/>
      <c r="T49" s="70">
        <f t="shared" si="3"/>
        <v>3375</v>
      </c>
      <c r="U49" s="11" t="s">
        <v>159</v>
      </c>
      <c r="V49" s="2"/>
      <c r="AC49" s="2"/>
      <c r="AD49" s="2"/>
      <c r="AG49" s="2"/>
    </row>
    <row r="50" spans="1:33" x14ac:dyDescent="0.3">
      <c r="A50" s="13" t="s">
        <v>20</v>
      </c>
      <c r="B50" s="5"/>
      <c r="C50" s="184"/>
      <c r="D50" s="184"/>
      <c r="E50" s="5"/>
      <c r="F50" s="14"/>
      <c r="G50" s="14"/>
      <c r="H50" s="14">
        <f>Grants!D13</f>
        <v>0</v>
      </c>
      <c r="I50" s="14"/>
      <c r="J50" s="14"/>
      <c r="K50" s="73"/>
      <c r="L50" s="73"/>
      <c r="M50" s="73"/>
      <c r="N50" s="73"/>
      <c r="O50" s="73"/>
      <c r="P50" s="73"/>
      <c r="Q50" s="14">
        <f>Grants!H13</f>
        <v>0</v>
      </c>
      <c r="R50" s="73"/>
      <c r="S50" s="73"/>
      <c r="T50" s="70">
        <f t="shared" si="3"/>
        <v>0</v>
      </c>
      <c r="U50" s="11" t="s">
        <v>159</v>
      </c>
      <c r="V50" s="2"/>
      <c r="AC50" s="2"/>
      <c r="AD50" s="2"/>
      <c r="AG50" s="2"/>
    </row>
    <row r="51" spans="1:33" x14ac:dyDescent="0.3">
      <c r="A51" s="13" t="s">
        <v>21</v>
      </c>
      <c r="B51" s="5"/>
      <c r="C51" s="184"/>
      <c r="D51" s="184"/>
      <c r="E51" s="5"/>
      <c r="F51" s="14"/>
      <c r="G51" s="14"/>
      <c r="H51" s="14">
        <f>Grants!D18</f>
        <v>1415</v>
      </c>
      <c r="I51" s="14"/>
      <c r="J51" s="14"/>
      <c r="K51" s="73"/>
      <c r="L51" s="73"/>
      <c r="M51" s="73"/>
      <c r="N51" s="73"/>
      <c r="O51" s="73"/>
      <c r="P51" s="73"/>
      <c r="Q51" s="14">
        <f>Grants!H18</f>
        <v>0</v>
      </c>
      <c r="R51" s="73"/>
      <c r="S51" s="73"/>
      <c r="T51" s="70">
        <f t="shared" si="3"/>
        <v>1415</v>
      </c>
      <c r="U51" s="11" t="s">
        <v>159</v>
      </c>
      <c r="V51" s="2"/>
      <c r="AC51" s="2"/>
      <c r="AD51" s="2"/>
      <c r="AG51" s="2"/>
    </row>
    <row r="52" spans="1:33" x14ac:dyDescent="0.3">
      <c r="A52" s="13" t="s">
        <v>22</v>
      </c>
      <c r="B52" s="5"/>
      <c r="C52" s="184"/>
      <c r="D52" s="184"/>
      <c r="E52" s="5"/>
      <c r="F52" s="14"/>
      <c r="G52" s="14"/>
      <c r="H52" s="14">
        <f>Grants!D24</f>
        <v>1761.91</v>
      </c>
      <c r="I52" s="14"/>
      <c r="J52" s="14"/>
      <c r="K52" s="73"/>
      <c r="L52" s="73"/>
      <c r="M52" s="73"/>
      <c r="N52" s="73"/>
      <c r="O52" s="73"/>
      <c r="P52" s="73"/>
      <c r="Q52" s="14">
        <f>Grants!H24</f>
        <v>0</v>
      </c>
      <c r="R52" s="73"/>
      <c r="S52" s="73"/>
      <c r="T52" s="70">
        <f t="shared" si="3"/>
        <v>1761.91</v>
      </c>
      <c r="U52" s="11" t="s">
        <v>159</v>
      </c>
      <c r="V52" s="2"/>
      <c r="AC52" s="2"/>
      <c r="AD52" s="2"/>
      <c r="AG52" s="2"/>
    </row>
    <row r="53" spans="1:33" x14ac:dyDescent="0.3">
      <c r="A53" s="13" t="s">
        <v>23</v>
      </c>
      <c r="B53" s="5"/>
      <c r="C53" s="184"/>
      <c r="D53" s="184"/>
      <c r="E53" s="5"/>
      <c r="F53" s="14"/>
      <c r="G53" s="14"/>
      <c r="H53" s="14">
        <f>Grants!D28</f>
        <v>0</v>
      </c>
      <c r="I53" s="14"/>
      <c r="J53" s="14"/>
      <c r="K53" s="73"/>
      <c r="L53" s="73"/>
      <c r="M53" s="73"/>
      <c r="N53" s="73"/>
      <c r="O53" s="73"/>
      <c r="P53" s="73"/>
      <c r="Q53" s="14">
        <f>Grants!H28</f>
        <v>0</v>
      </c>
      <c r="R53" s="73"/>
      <c r="S53" s="73"/>
      <c r="T53" s="70">
        <f t="shared" si="3"/>
        <v>0</v>
      </c>
      <c r="U53" s="11" t="s">
        <v>159</v>
      </c>
      <c r="V53" s="2"/>
      <c r="AC53" s="2"/>
      <c r="AD53" s="2"/>
      <c r="AG53" s="2"/>
    </row>
    <row r="54" spans="1:33" x14ac:dyDescent="0.3">
      <c r="A54" s="13" t="s">
        <v>24</v>
      </c>
      <c r="B54" s="5"/>
      <c r="C54" s="184"/>
      <c r="D54" s="184"/>
      <c r="E54" s="5"/>
      <c r="F54" s="14"/>
      <c r="G54" s="14"/>
      <c r="H54" s="14">
        <f>Grants!D33</f>
        <v>765</v>
      </c>
      <c r="I54" s="19"/>
      <c r="J54" s="19"/>
      <c r="K54" s="73"/>
      <c r="L54" s="73"/>
      <c r="M54" s="73"/>
      <c r="N54" s="73"/>
      <c r="O54" s="73"/>
      <c r="P54" s="73"/>
      <c r="Q54" s="14">
        <f>Grants!H33</f>
        <v>0</v>
      </c>
      <c r="R54" s="73"/>
      <c r="S54" s="73"/>
      <c r="T54" s="70">
        <f t="shared" si="3"/>
        <v>765</v>
      </c>
      <c r="U54" s="11" t="s">
        <v>159</v>
      </c>
      <c r="V54" s="2"/>
      <c r="AC54" s="2"/>
      <c r="AD54" s="2"/>
      <c r="AG54" s="2"/>
    </row>
    <row r="55" spans="1:33" x14ac:dyDescent="0.3">
      <c r="A55" s="13" t="s">
        <v>25</v>
      </c>
      <c r="B55" s="5"/>
      <c r="C55" s="184"/>
      <c r="D55" s="184"/>
      <c r="E55" s="5"/>
      <c r="F55" s="14"/>
      <c r="G55" s="14"/>
      <c r="H55" s="14">
        <f>Grants!D39</f>
        <v>3268</v>
      </c>
      <c r="I55" s="19"/>
      <c r="J55" s="19"/>
      <c r="K55" s="73"/>
      <c r="L55" s="73"/>
      <c r="M55" s="73"/>
      <c r="N55" s="73"/>
      <c r="O55" s="73"/>
      <c r="P55" s="73"/>
      <c r="Q55" s="14">
        <f>Grants!H39</f>
        <v>0</v>
      </c>
      <c r="R55" s="73"/>
      <c r="S55" s="73"/>
      <c r="T55" s="70">
        <f t="shared" si="3"/>
        <v>3268</v>
      </c>
      <c r="U55" s="11" t="s">
        <v>159</v>
      </c>
      <c r="V55" s="2"/>
      <c r="AC55" s="2"/>
      <c r="AD55" s="2"/>
      <c r="AG55" s="2"/>
    </row>
    <row r="56" spans="1:33" x14ac:dyDescent="0.3">
      <c r="A56" s="13" t="s">
        <v>158</v>
      </c>
      <c r="B56" s="5"/>
      <c r="C56" s="184"/>
      <c r="D56" s="184"/>
      <c r="E56" s="5"/>
      <c r="F56" s="14"/>
      <c r="G56" s="14"/>
      <c r="H56" s="14">
        <f>Grants!D43</f>
        <v>0</v>
      </c>
      <c r="I56" s="19"/>
      <c r="J56" s="19"/>
      <c r="K56" s="73"/>
      <c r="L56" s="73"/>
      <c r="M56" s="73"/>
      <c r="N56" s="73"/>
      <c r="O56" s="73"/>
      <c r="P56" s="73"/>
      <c r="Q56" s="14">
        <f>Grants!H43</f>
        <v>0</v>
      </c>
      <c r="R56" s="73"/>
      <c r="S56" s="73"/>
      <c r="T56" s="70">
        <f t="shared" si="3"/>
        <v>0</v>
      </c>
      <c r="U56" s="11" t="s">
        <v>159</v>
      </c>
      <c r="V56" s="2"/>
      <c r="AC56" s="2"/>
      <c r="AD56" s="2"/>
      <c r="AG56" s="2"/>
    </row>
    <row r="57" spans="1:33" x14ac:dyDescent="0.3">
      <c r="A57" s="13" t="s">
        <v>27</v>
      </c>
      <c r="B57" s="5"/>
      <c r="C57" s="184"/>
      <c r="D57" s="184"/>
      <c r="E57" s="5"/>
      <c r="F57" s="14"/>
      <c r="G57" s="14"/>
      <c r="H57" s="14">
        <f>Grants!D47</f>
        <v>117.6</v>
      </c>
      <c r="I57" s="19"/>
      <c r="J57" s="19"/>
      <c r="K57" s="73"/>
      <c r="L57" s="73"/>
      <c r="M57" s="73"/>
      <c r="N57" s="73"/>
      <c r="O57" s="73"/>
      <c r="P57" s="73"/>
      <c r="Q57" s="14">
        <f>Grants!H47</f>
        <v>0</v>
      </c>
      <c r="R57" s="73"/>
      <c r="S57" s="73"/>
      <c r="T57" s="70">
        <f t="shared" si="3"/>
        <v>117.6</v>
      </c>
      <c r="U57" s="11" t="s">
        <v>159</v>
      </c>
      <c r="V57" s="2"/>
      <c r="AC57" s="2"/>
      <c r="AD57" s="2"/>
      <c r="AG57" s="2"/>
    </row>
    <row r="58" spans="1:33" x14ac:dyDescent="0.3">
      <c r="A58" s="13" t="s">
        <v>28</v>
      </c>
      <c r="B58" s="5"/>
      <c r="C58" s="184"/>
      <c r="D58" s="184"/>
      <c r="E58" s="5"/>
      <c r="F58" s="14"/>
      <c r="G58" s="14"/>
      <c r="H58" s="14">
        <f>Grants!D52</f>
        <v>5407</v>
      </c>
      <c r="I58" s="19"/>
      <c r="J58" s="19"/>
      <c r="K58" s="73"/>
      <c r="L58" s="73"/>
      <c r="M58" s="73"/>
      <c r="N58" s="73"/>
      <c r="O58" s="73"/>
      <c r="P58" s="73"/>
      <c r="Q58" s="14">
        <f>Grants!H52</f>
        <v>0</v>
      </c>
      <c r="R58" s="73"/>
      <c r="S58" s="73"/>
      <c r="T58" s="70">
        <f t="shared" si="3"/>
        <v>5407</v>
      </c>
      <c r="U58" s="11" t="s">
        <v>159</v>
      </c>
      <c r="V58" s="2"/>
      <c r="AC58" s="2"/>
      <c r="AD58" s="2"/>
      <c r="AG58" s="2"/>
    </row>
    <row r="59" spans="1:33" x14ac:dyDescent="0.3">
      <c r="A59" s="13" t="s">
        <v>29</v>
      </c>
      <c r="B59" s="5"/>
      <c r="C59" s="184"/>
      <c r="D59" s="184"/>
      <c r="E59" s="5"/>
      <c r="F59" s="14"/>
      <c r="G59" s="14"/>
      <c r="H59" s="14">
        <f>Grants!D58</f>
        <v>1664.25</v>
      </c>
      <c r="I59" s="19"/>
      <c r="J59" s="19"/>
      <c r="K59" s="73"/>
      <c r="L59" s="73"/>
      <c r="M59" s="73"/>
      <c r="N59" s="73"/>
      <c r="O59" s="73"/>
      <c r="P59" s="73"/>
      <c r="Q59" s="14">
        <f>Grants!H58</f>
        <v>0</v>
      </c>
      <c r="R59" s="73"/>
      <c r="S59" s="73"/>
      <c r="T59" s="70">
        <f t="shared" si="3"/>
        <v>1664.25</v>
      </c>
      <c r="U59" s="11" t="s">
        <v>159</v>
      </c>
      <c r="V59" s="2"/>
      <c r="AC59" s="2"/>
      <c r="AD59" s="2"/>
      <c r="AG59" s="2"/>
    </row>
    <row r="60" spans="1:33" x14ac:dyDescent="0.3">
      <c r="A60" s="13" t="s">
        <v>30</v>
      </c>
      <c r="B60" s="5"/>
      <c r="C60" s="184"/>
      <c r="D60" s="184"/>
      <c r="E60" s="5"/>
      <c r="F60" s="14"/>
      <c r="G60" s="14"/>
      <c r="H60" s="14">
        <f>Grants!D64</f>
        <v>0</v>
      </c>
      <c r="I60" s="14"/>
      <c r="J60" s="14"/>
      <c r="K60" s="73"/>
      <c r="L60" s="73"/>
      <c r="M60" s="73"/>
      <c r="N60" s="73"/>
      <c r="O60" s="73"/>
      <c r="P60" s="73"/>
      <c r="Q60" s="14">
        <f>Grants!H64</f>
        <v>0</v>
      </c>
      <c r="R60" s="73"/>
      <c r="S60" s="73"/>
      <c r="T60" s="70">
        <f t="shared" si="3"/>
        <v>0</v>
      </c>
      <c r="U60" s="11" t="s">
        <v>159</v>
      </c>
      <c r="V60" s="2"/>
      <c r="AC60" s="2"/>
      <c r="AD60" s="2"/>
      <c r="AG60" s="2"/>
    </row>
    <row r="61" spans="1:33" ht="30.9" customHeight="1" x14ac:dyDescent="0.3">
      <c r="A61" s="13" t="s">
        <v>160</v>
      </c>
      <c r="B61" s="5"/>
      <c r="C61" s="184"/>
      <c r="D61" s="184"/>
      <c r="E61" s="5"/>
      <c r="F61" s="14"/>
      <c r="G61" s="14"/>
      <c r="H61" s="14"/>
      <c r="I61" s="14">
        <f>'General Inc &amp; Exp'!D26</f>
        <v>0</v>
      </c>
      <c r="J61" s="14"/>
      <c r="K61" s="73"/>
      <c r="L61" s="73"/>
      <c r="M61" s="73"/>
      <c r="N61" s="73"/>
      <c r="O61" s="73"/>
      <c r="P61" s="73"/>
      <c r="Q61" s="73"/>
      <c r="R61" s="73">
        <f>'General Inc &amp; Exp'!I26</f>
        <v>6875.9800000000014</v>
      </c>
      <c r="S61" s="73"/>
      <c r="T61" s="70">
        <f t="shared" si="3"/>
        <v>-6875.9800000000014</v>
      </c>
      <c r="U61" s="23" t="s">
        <v>161</v>
      </c>
      <c r="V61" s="2"/>
      <c r="AC61" s="2"/>
      <c r="AD61" s="2"/>
      <c r="AG61" s="2"/>
    </row>
    <row r="62" spans="1:33" x14ac:dyDescent="0.3">
      <c r="A62" s="13" t="s">
        <v>160</v>
      </c>
      <c r="B62" s="5"/>
      <c r="C62" s="184"/>
      <c r="D62" s="184"/>
      <c r="E62" s="5"/>
      <c r="F62" s="14"/>
      <c r="G62" s="14"/>
      <c r="H62" s="14"/>
      <c r="I62" s="14"/>
      <c r="J62" s="14">
        <f>'Misc '!D24</f>
        <v>0</v>
      </c>
      <c r="K62" s="73"/>
      <c r="L62" s="73"/>
      <c r="M62" s="73"/>
      <c r="N62" s="73"/>
      <c r="O62" s="73"/>
      <c r="P62" s="73"/>
      <c r="Q62" s="73"/>
      <c r="R62" s="73"/>
      <c r="S62" s="73">
        <f>'Misc '!I24</f>
        <v>0</v>
      </c>
      <c r="T62" s="70">
        <f t="shared" si="3"/>
        <v>0</v>
      </c>
      <c r="U62" s="23" t="s">
        <v>218</v>
      </c>
      <c r="V62" s="2"/>
      <c r="AC62" s="2"/>
      <c r="AD62" s="2"/>
      <c r="AG62" s="2"/>
    </row>
    <row r="63" spans="1:33" ht="21" customHeight="1" x14ac:dyDescent="0.3">
      <c r="A63" s="13"/>
      <c r="B63" s="5"/>
      <c r="C63" s="184"/>
      <c r="D63" s="184"/>
      <c r="E63" s="5"/>
      <c r="F63" s="14"/>
      <c r="G63" s="14"/>
      <c r="H63" s="14"/>
      <c r="I63" s="14"/>
      <c r="J63" s="14"/>
      <c r="K63" s="73"/>
      <c r="L63" s="73"/>
      <c r="M63" s="73"/>
      <c r="N63" s="73"/>
      <c r="O63" s="73"/>
      <c r="P63" s="73"/>
      <c r="Q63" s="73"/>
      <c r="R63" s="73"/>
      <c r="S63" s="73"/>
      <c r="T63" s="70">
        <f t="shared" si="3"/>
        <v>0</v>
      </c>
      <c r="U63" s="23"/>
      <c r="V63" s="2"/>
      <c r="AC63" s="2"/>
      <c r="AD63" s="2"/>
      <c r="AG63" s="2"/>
    </row>
    <row r="64" spans="1:33" ht="21" customHeight="1" x14ac:dyDescent="0.3">
      <c r="A64" s="13"/>
      <c r="B64" s="5"/>
      <c r="C64" s="184"/>
      <c r="D64" s="184"/>
      <c r="E64" s="5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70">
        <f t="shared" si="3"/>
        <v>0</v>
      </c>
      <c r="U64" s="23"/>
      <c r="V64" s="2"/>
      <c r="AC64" s="2"/>
      <c r="AD64" s="2"/>
      <c r="AG64" s="2"/>
    </row>
    <row r="65" spans="1:33" x14ac:dyDescent="0.3">
      <c r="A65" s="13"/>
      <c r="B65" s="5"/>
      <c r="C65" s="184"/>
      <c r="D65" s="184"/>
      <c r="E65" s="5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70">
        <f t="shared" si="3"/>
        <v>0</v>
      </c>
      <c r="U65" s="23"/>
      <c r="V65" s="2"/>
      <c r="AC65" s="2"/>
      <c r="AD65" s="2"/>
      <c r="AG65" s="2"/>
    </row>
    <row r="66" spans="1:33" x14ac:dyDescent="0.3">
      <c r="A66" s="42"/>
      <c r="B66" s="5"/>
      <c r="C66" s="184"/>
      <c r="D66" s="184"/>
      <c r="E66" s="5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70">
        <f t="shared" si="3"/>
        <v>0</v>
      </c>
      <c r="U66" s="43"/>
      <c r="W66" s="3"/>
      <c r="X66" s="3"/>
      <c r="Y66" s="3"/>
      <c r="Z66" s="3"/>
      <c r="AA66" s="3"/>
      <c r="AB66" s="3"/>
      <c r="AC66" s="3"/>
    </row>
    <row r="67" spans="1:33" ht="15" thickBot="1" x14ac:dyDescent="0.35">
      <c r="A67" s="2" t="s">
        <v>1</v>
      </c>
      <c r="B67" s="4">
        <f>SUM(Group_Acc[Sat Workshops])</f>
        <v>2975</v>
      </c>
      <c r="C67" s="4">
        <f>SUM(Group_Acc[Club G])</f>
        <v>0</v>
      </c>
      <c r="D67" s="4">
        <f>SUM(Group_Acc[Club D])</f>
        <v>170</v>
      </c>
      <c r="E67" s="4">
        <f>SUM(Group_Acc[Main Feis])</f>
        <v>9079.56</v>
      </c>
      <c r="F67" s="4">
        <f>SUM(Group_Acc[Seinn, Coisir, Ceol])</f>
        <v>6909.5</v>
      </c>
      <c r="G67" s="4">
        <f>SUM(Group_Acc[Instrument])</f>
        <v>137</v>
      </c>
      <c r="H67" s="4">
        <f>SUM(Group_Acc[Grants])</f>
        <v>17773.760000000002</v>
      </c>
      <c r="I67" s="4">
        <f>SUM(Group_Acc[General Inc])</f>
        <v>0</v>
      </c>
      <c r="J67" s="4">
        <f>SUM(Group_Acc[Misc])</f>
        <v>0</v>
      </c>
      <c r="K67" s="4">
        <f>SUM(Group_Acc[Sat Workshops Exp])</f>
        <v>3984.9100000000003</v>
      </c>
      <c r="L67" s="4">
        <f>SUM(Group_Acc[Club G Exp])</f>
        <v>2253.19</v>
      </c>
      <c r="M67" s="4">
        <f>SUM(Group_Acc[Club D exp])</f>
        <v>696.03</v>
      </c>
      <c r="N67" s="4">
        <f>SUM(Group_Acc[Main Feis  Exp])</f>
        <v>8626.0199999999986</v>
      </c>
      <c r="O67" s="4">
        <f>SUM(Group_Acc[Seinn, Coisir, Ceol Exp])</f>
        <v>5508.83</v>
      </c>
      <c r="P67" s="4">
        <f>SUM(Group_Acc[Instrument Exp])</f>
        <v>0</v>
      </c>
      <c r="Q67" s="4">
        <f>SUM(Group_Acc[Grants  Exp])</f>
        <v>0</v>
      </c>
      <c r="R67" s="4">
        <f>SUM(Group_Acc[General  Exp])</f>
        <v>6875.9800000000014</v>
      </c>
      <c r="S67" s="4">
        <f>SUM(Group_Acc[Misc  Exp])</f>
        <v>0</v>
      </c>
      <c r="T67" s="14">
        <f t="shared" si="3"/>
        <v>9099.86</v>
      </c>
      <c r="W67" s="17"/>
      <c r="X67" s="17"/>
      <c r="Y67" s="17"/>
      <c r="Z67" s="17"/>
      <c r="AA67" s="17"/>
      <c r="AB67" s="17"/>
      <c r="AC67" s="17"/>
    </row>
    <row r="68" spans="1:33" ht="15.6" thickTop="1" thickBot="1" x14ac:dyDescent="0.35">
      <c r="B68" s="6"/>
      <c r="C68" s="6"/>
      <c r="D68" s="6"/>
      <c r="E68" s="6"/>
      <c r="G68" s="12"/>
      <c r="H68" s="12"/>
      <c r="I68" s="27" t="s">
        <v>35</v>
      </c>
      <c r="J68" s="41">
        <f>SUM(B67:J67)</f>
        <v>37044.82</v>
      </c>
      <c r="K68" s="69"/>
      <c r="L68" s="69"/>
      <c r="M68" s="69"/>
      <c r="N68" s="69"/>
      <c r="S68" s="28" t="s">
        <v>36</v>
      </c>
      <c r="T68" s="29">
        <f>SUM(K67:S67)</f>
        <v>27944.959999999999</v>
      </c>
      <c r="W68" s="17"/>
      <c r="X68" s="17"/>
      <c r="Y68" s="17"/>
      <c r="Z68" s="17"/>
      <c r="AA68" s="17"/>
      <c r="AB68" s="17"/>
      <c r="AC68" s="17"/>
      <c r="AD68" s="11"/>
    </row>
    <row r="69" spans="1:33" x14ac:dyDescent="0.3">
      <c r="B69" s="12"/>
      <c r="C69" s="12"/>
      <c r="D69" s="12"/>
      <c r="E69" s="12"/>
      <c r="G69" s="25"/>
      <c r="H69" s="25"/>
      <c r="W69" s="17"/>
      <c r="X69" s="17"/>
      <c r="Y69" s="17"/>
      <c r="Z69" s="17"/>
      <c r="AA69" s="17"/>
      <c r="AB69" s="17"/>
      <c r="AC69" s="17"/>
      <c r="AD69" s="11"/>
    </row>
    <row r="70" spans="1:33" x14ac:dyDescent="0.3">
      <c r="W70" s="17"/>
      <c r="X70" s="17"/>
      <c r="Y70" s="17"/>
      <c r="Z70" s="17"/>
      <c r="AA70" s="17"/>
      <c r="AB70" s="17"/>
      <c r="AC70" s="17"/>
      <c r="AD70" s="11"/>
    </row>
    <row r="71" spans="1:33" x14ac:dyDescent="0.3">
      <c r="B71" s="3"/>
      <c r="C71" s="3"/>
      <c r="D71" s="3"/>
      <c r="E71" s="3"/>
      <c r="G71" s="12"/>
      <c r="H71" s="12"/>
      <c r="U71" s="12"/>
      <c r="W71" s="17"/>
      <c r="X71" s="17"/>
      <c r="Y71" s="17"/>
      <c r="Z71" s="17"/>
      <c r="AA71" s="17"/>
      <c r="AB71" s="17"/>
      <c r="AC71" s="17"/>
    </row>
    <row r="72" spans="1:33" x14ac:dyDescent="0.3">
      <c r="B72" s="3"/>
      <c r="C72" s="3"/>
      <c r="D72" s="3"/>
      <c r="E72" s="3"/>
      <c r="W72" s="17"/>
      <c r="X72" s="17"/>
      <c r="Y72" s="17"/>
      <c r="Z72" s="17"/>
      <c r="AA72" s="17"/>
      <c r="AB72" s="17"/>
      <c r="AC72" s="17"/>
    </row>
    <row r="73" spans="1:33" x14ac:dyDescent="0.3">
      <c r="W73" s="17"/>
      <c r="X73" s="17"/>
      <c r="Y73" s="17"/>
      <c r="Z73" s="17"/>
      <c r="AA73" s="17"/>
      <c r="AB73" s="17"/>
      <c r="AC73" s="17"/>
    </row>
    <row r="74" spans="1:33" x14ac:dyDescent="0.3">
      <c r="W74" s="17"/>
      <c r="X74" s="17"/>
      <c r="Y74" s="17"/>
      <c r="Z74" s="17"/>
      <c r="AA74" s="17"/>
      <c r="AB74" s="17"/>
      <c r="AC74" s="17"/>
    </row>
    <row r="75" spans="1:33" x14ac:dyDescent="0.3">
      <c r="W75" s="17"/>
      <c r="X75" s="17"/>
      <c r="Y75" s="17"/>
      <c r="Z75" s="17"/>
      <c r="AA75" s="17"/>
      <c r="AB75" s="17"/>
      <c r="AC75" s="17"/>
    </row>
    <row r="76" spans="1:33" x14ac:dyDescent="0.3">
      <c r="W76" s="17"/>
      <c r="X76" s="17"/>
      <c r="Y76" s="17"/>
      <c r="Z76" s="17"/>
      <c r="AA76" s="17"/>
      <c r="AB76" s="17"/>
      <c r="AC76" s="17"/>
    </row>
    <row r="77" spans="1:33" x14ac:dyDescent="0.3">
      <c r="W77" s="17"/>
      <c r="X77" s="17"/>
      <c r="Y77" s="17"/>
      <c r="Z77" s="17"/>
      <c r="AA77" s="17"/>
      <c r="AB77" s="17"/>
      <c r="AC77" s="17"/>
    </row>
    <row r="78" spans="1:33" x14ac:dyDescent="0.3">
      <c r="W78" s="17"/>
      <c r="X78" s="17"/>
      <c r="Y78" s="17"/>
      <c r="Z78" s="17"/>
      <c r="AA78" s="17"/>
      <c r="AB78" s="17"/>
      <c r="AC78" s="17"/>
    </row>
    <row r="79" spans="1:33" x14ac:dyDescent="0.3">
      <c r="V79" s="17"/>
      <c r="W79" s="17"/>
      <c r="X79" s="17"/>
      <c r="Y79" s="17"/>
      <c r="Z79" s="17"/>
      <c r="AA79" s="17"/>
      <c r="AB79" s="17"/>
      <c r="AC79" s="17"/>
    </row>
    <row r="80" spans="1:33" x14ac:dyDescent="0.3">
      <c r="W80" s="17"/>
      <c r="X80" s="17"/>
      <c r="Y80" s="17"/>
      <c r="Z80" s="17"/>
      <c r="AA80" s="17"/>
      <c r="AB80" s="17"/>
      <c r="AC80" s="24"/>
    </row>
  </sheetData>
  <mergeCells count="1">
    <mergeCell ref="V16:V19"/>
  </mergeCells>
  <conditionalFormatting sqref="C1:D1">
    <cfRule type="top10" dxfId="11" priority="12" rank="10"/>
  </conditionalFormatting>
  <conditionalFormatting sqref="E1">
    <cfRule type="top10" dxfId="10" priority="10" rank="10"/>
  </conditionalFormatting>
  <conditionalFormatting sqref="F1">
    <cfRule type="top10" dxfId="9" priority="1" rank="10"/>
  </conditionalFormatting>
  <conditionalFormatting sqref="H1">
    <cfRule type="top10" dxfId="8" priority="8" rank="10"/>
  </conditionalFormatting>
  <conditionalFormatting sqref="I1:J1">
    <cfRule type="top10" dxfId="7" priority="15" rank="10"/>
  </conditionalFormatting>
  <conditionalFormatting sqref="K1">
    <cfRule type="top10" dxfId="6" priority="7" rank="10"/>
  </conditionalFormatting>
  <conditionalFormatting sqref="L1:M1">
    <cfRule type="top10" dxfId="5" priority="6" rank="10"/>
  </conditionalFormatting>
  <conditionalFormatting sqref="N1">
    <cfRule type="top10" dxfId="4" priority="4" rank="10"/>
  </conditionalFormatting>
  <conditionalFormatting sqref="O1:P1">
    <cfRule type="top10" dxfId="3" priority="17" rank="10"/>
  </conditionalFormatting>
  <conditionalFormatting sqref="Q1">
    <cfRule type="top10" dxfId="2" priority="2" rank="10"/>
  </conditionalFormatting>
  <conditionalFormatting sqref="R1:S1">
    <cfRule type="top10" dxfId="1" priority="16" rank="10"/>
  </conditionalFormatting>
  <conditionalFormatting sqref="T1:U1 A1:B1 G1">
    <cfRule type="top10" dxfId="0" priority="13" rank="10"/>
  </conditionalFormatting>
  <pageMargins left="0.25" right="0.25" top="0.84020833333333333" bottom="0.75" header="0.3" footer="0.3"/>
  <pageSetup paperSize="8" scale="59" orientation="landscape" r:id="rId1"/>
  <headerFooter scaleWithDoc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25"/>
  <sheetViews>
    <sheetView zoomScale="98" zoomScaleNormal="98" workbookViewId="0">
      <pane ySplit="4" topLeftCell="A335" activePane="bottomLeft" state="frozen"/>
      <selection pane="bottomLeft" activeCell="F256" sqref="F256"/>
    </sheetView>
  </sheetViews>
  <sheetFormatPr defaultRowHeight="14.4" x14ac:dyDescent="0.3"/>
  <cols>
    <col min="1" max="1" width="5.109375" customWidth="1"/>
    <col min="2" max="2" width="11.6640625" style="122" customWidth="1"/>
    <col min="3" max="3" width="11.6640625" customWidth="1"/>
    <col min="4" max="4" width="15.5546875" style="30" customWidth="1"/>
    <col min="5" max="5" width="55.33203125" customWidth="1"/>
    <col min="6" max="6" width="11.6640625" style="30" customWidth="1"/>
    <col min="7" max="7" width="11.6640625" customWidth="1"/>
    <col min="8" max="8" width="12.6640625" style="86" customWidth="1"/>
    <col min="9" max="9" width="51.33203125" customWidth="1"/>
    <col min="10" max="10" width="19.88671875" style="129" customWidth="1"/>
    <col min="11" max="11" width="12.6640625" style="119" customWidth="1"/>
  </cols>
  <sheetData>
    <row r="1" spans="1:11" ht="21" x14ac:dyDescent="0.4">
      <c r="B1" s="161" t="s">
        <v>145</v>
      </c>
      <c r="C1" s="161"/>
      <c r="D1" s="161"/>
      <c r="E1" s="161"/>
      <c r="F1" s="161"/>
      <c r="G1" s="161"/>
      <c r="H1" s="161"/>
      <c r="I1" s="161"/>
    </row>
    <row r="2" spans="1:11" x14ac:dyDescent="0.3">
      <c r="C2" s="30"/>
      <c r="E2" s="30"/>
      <c r="J2" s="118" t="s">
        <v>191</v>
      </c>
      <c r="K2" s="120">
        <v>23329.03</v>
      </c>
    </row>
    <row r="3" spans="1:11" ht="21" x14ac:dyDescent="0.4">
      <c r="B3" s="161" t="s">
        <v>146</v>
      </c>
      <c r="C3" s="161"/>
      <c r="D3" s="161"/>
      <c r="E3" s="161"/>
      <c r="F3" s="161" t="s">
        <v>147</v>
      </c>
      <c r="G3" s="161"/>
      <c r="H3" s="161"/>
      <c r="I3" s="161"/>
      <c r="J3" s="118" t="s">
        <v>192</v>
      </c>
      <c r="K3" s="120">
        <v>32428.89</v>
      </c>
    </row>
    <row r="4" spans="1:11" x14ac:dyDescent="0.3">
      <c r="B4" s="123" t="s">
        <v>141</v>
      </c>
      <c r="C4" s="75" t="s">
        <v>142</v>
      </c>
      <c r="D4" s="31" t="s">
        <v>143</v>
      </c>
      <c r="E4" s="31" t="s">
        <v>144</v>
      </c>
      <c r="F4" s="31" t="s">
        <v>141</v>
      </c>
      <c r="G4" s="75" t="s">
        <v>142</v>
      </c>
      <c r="H4" s="85" t="s">
        <v>209</v>
      </c>
      <c r="I4" s="31" t="s">
        <v>144</v>
      </c>
    </row>
    <row r="5" spans="1:11" x14ac:dyDescent="0.3">
      <c r="B5" s="162">
        <v>45536</v>
      </c>
      <c r="C5" s="163"/>
      <c r="D5" s="163"/>
      <c r="E5" s="163"/>
      <c r="F5" s="164">
        <v>45536</v>
      </c>
      <c r="G5" s="165"/>
      <c r="H5" s="165"/>
      <c r="I5" s="165"/>
      <c r="J5" s="118">
        <v>23329.03</v>
      </c>
    </row>
    <row r="6" spans="1:11" x14ac:dyDescent="0.3">
      <c r="A6" s="141"/>
      <c r="B6" s="122">
        <v>45537</v>
      </c>
      <c r="C6" s="74">
        <v>18</v>
      </c>
      <c r="D6" s="30" t="s">
        <v>148</v>
      </c>
      <c r="E6" s="2" t="s">
        <v>627</v>
      </c>
      <c r="F6" s="122">
        <v>45558</v>
      </c>
      <c r="G6" s="74">
        <v>96.25</v>
      </c>
      <c r="H6" s="78" t="s">
        <v>247</v>
      </c>
      <c r="I6" t="s">
        <v>234</v>
      </c>
    </row>
    <row r="7" spans="1:11" x14ac:dyDescent="0.3">
      <c r="A7" s="141"/>
      <c r="B7" s="122">
        <v>45537</v>
      </c>
      <c r="C7" s="74">
        <v>18</v>
      </c>
      <c r="D7" s="30" t="s">
        <v>148</v>
      </c>
      <c r="E7" s="2" t="s">
        <v>321</v>
      </c>
      <c r="F7" s="122">
        <v>45558</v>
      </c>
      <c r="G7" s="74">
        <v>102.85</v>
      </c>
      <c r="H7" s="78" t="s">
        <v>247</v>
      </c>
      <c r="I7" t="s">
        <v>249</v>
      </c>
    </row>
    <row r="8" spans="1:11" x14ac:dyDescent="0.3">
      <c r="A8" s="141"/>
      <c r="B8" s="122">
        <v>45537</v>
      </c>
      <c r="C8" s="74">
        <v>18</v>
      </c>
      <c r="D8" s="30" t="s">
        <v>148</v>
      </c>
      <c r="E8" s="2" t="s">
        <v>297</v>
      </c>
      <c r="F8" s="122">
        <v>45558</v>
      </c>
      <c r="G8" s="74">
        <v>96.25</v>
      </c>
      <c r="H8" s="78" t="s">
        <v>247</v>
      </c>
      <c r="I8" t="s">
        <v>235</v>
      </c>
    </row>
    <row r="9" spans="1:11" x14ac:dyDescent="0.3">
      <c r="A9" s="141"/>
      <c r="B9" s="122">
        <v>45537</v>
      </c>
      <c r="C9" s="74">
        <v>18</v>
      </c>
      <c r="D9" s="30" t="s">
        <v>148</v>
      </c>
      <c r="E9" s="2" t="s">
        <v>227</v>
      </c>
      <c r="F9" s="122">
        <v>45558</v>
      </c>
      <c r="G9" s="74">
        <v>50</v>
      </c>
      <c r="H9" s="78" t="s">
        <v>247</v>
      </c>
      <c r="I9" t="s">
        <v>261</v>
      </c>
    </row>
    <row r="10" spans="1:11" ht="15" customHeight="1" x14ac:dyDescent="0.3">
      <c r="A10" s="141"/>
      <c r="B10" s="122">
        <v>45537</v>
      </c>
      <c r="C10" s="102">
        <v>27</v>
      </c>
      <c r="D10" s="3" t="s">
        <v>148</v>
      </c>
      <c r="E10" s="2" t="s">
        <v>714</v>
      </c>
      <c r="F10" s="122">
        <v>45558</v>
      </c>
      <c r="G10" s="74">
        <v>50</v>
      </c>
      <c r="H10" s="78" t="s">
        <v>247</v>
      </c>
      <c r="I10" t="s">
        <v>233</v>
      </c>
    </row>
    <row r="11" spans="1:11" x14ac:dyDescent="0.3">
      <c r="A11" s="141"/>
      <c r="B11" s="122">
        <v>45537</v>
      </c>
      <c r="C11" s="74">
        <v>18</v>
      </c>
      <c r="D11" s="3" t="s">
        <v>148</v>
      </c>
      <c r="E11" s="2" t="s">
        <v>607</v>
      </c>
      <c r="F11" s="122">
        <v>45558</v>
      </c>
      <c r="G11" s="74">
        <v>108.85</v>
      </c>
      <c r="H11" s="78" t="s">
        <v>247</v>
      </c>
      <c r="I11" s="133" t="s">
        <v>231</v>
      </c>
    </row>
    <row r="12" spans="1:11" x14ac:dyDescent="0.3">
      <c r="A12" s="141"/>
      <c r="B12" s="122">
        <v>45537</v>
      </c>
      <c r="C12" s="74">
        <v>18</v>
      </c>
      <c r="D12" s="3" t="s">
        <v>148</v>
      </c>
      <c r="E12" t="s">
        <v>715</v>
      </c>
      <c r="F12" s="122">
        <v>45559</v>
      </c>
      <c r="G12" s="74">
        <v>578.54999999999995</v>
      </c>
      <c r="H12" s="78" t="s">
        <v>247</v>
      </c>
      <c r="I12" t="s">
        <v>281</v>
      </c>
    </row>
    <row r="13" spans="1:11" x14ac:dyDescent="0.3">
      <c r="A13" s="141"/>
      <c r="B13" s="122">
        <v>45537</v>
      </c>
      <c r="C13" s="74">
        <v>18</v>
      </c>
      <c r="D13" s="3" t="s">
        <v>148</v>
      </c>
      <c r="E13" s="2" t="s">
        <v>608</v>
      </c>
      <c r="F13" s="122">
        <v>45565</v>
      </c>
      <c r="G13" s="74">
        <v>3801.91</v>
      </c>
      <c r="H13" s="78" t="s">
        <v>247</v>
      </c>
      <c r="I13" t="s">
        <v>281</v>
      </c>
    </row>
    <row r="14" spans="1:11" x14ac:dyDescent="0.3">
      <c r="A14" s="141"/>
      <c r="B14" s="122">
        <v>45537</v>
      </c>
      <c r="C14" s="74">
        <v>18</v>
      </c>
      <c r="D14" s="3" t="s">
        <v>148</v>
      </c>
      <c r="E14" s="2" t="s">
        <v>302</v>
      </c>
    </row>
    <row r="15" spans="1:11" x14ac:dyDescent="0.3">
      <c r="A15" s="141"/>
      <c r="B15" s="122">
        <v>45537</v>
      </c>
      <c r="C15" s="74">
        <v>27</v>
      </c>
      <c r="D15" s="3" t="s">
        <v>148</v>
      </c>
      <c r="E15" s="2" t="s">
        <v>716</v>
      </c>
    </row>
    <row r="16" spans="1:11" x14ac:dyDescent="0.3">
      <c r="A16" s="141"/>
      <c r="B16" s="122">
        <v>45537</v>
      </c>
      <c r="C16" s="74">
        <v>18</v>
      </c>
      <c r="D16" s="3" t="s">
        <v>148</v>
      </c>
      <c r="E16" s="2" t="s">
        <v>311</v>
      </c>
    </row>
    <row r="17" spans="1:5" x14ac:dyDescent="0.3">
      <c r="A17" s="141"/>
      <c r="B17" s="122">
        <v>45537</v>
      </c>
      <c r="C17" s="74">
        <v>18</v>
      </c>
      <c r="D17" s="3" t="s">
        <v>148</v>
      </c>
      <c r="E17" t="s">
        <v>610</v>
      </c>
    </row>
    <row r="18" spans="1:5" x14ac:dyDescent="0.3">
      <c r="A18" s="141"/>
      <c r="B18" s="122">
        <v>45537</v>
      </c>
      <c r="C18" s="74">
        <v>27</v>
      </c>
      <c r="D18" s="3" t="s">
        <v>148</v>
      </c>
      <c r="E18" s="2" t="s">
        <v>229</v>
      </c>
    </row>
    <row r="19" spans="1:5" x14ac:dyDescent="0.3">
      <c r="A19" s="141"/>
      <c r="B19" s="122">
        <v>45537</v>
      </c>
      <c r="C19" s="74">
        <v>18</v>
      </c>
      <c r="D19" s="3" t="s">
        <v>148</v>
      </c>
      <c r="E19" s="2" t="s">
        <v>336</v>
      </c>
    </row>
    <row r="20" spans="1:5" x14ac:dyDescent="0.3">
      <c r="A20" s="141"/>
      <c r="B20" s="122">
        <v>45537</v>
      </c>
      <c r="C20" s="74">
        <v>18</v>
      </c>
      <c r="D20" s="3" t="s">
        <v>148</v>
      </c>
      <c r="E20" t="s">
        <v>611</v>
      </c>
    </row>
    <row r="21" spans="1:5" x14ac:dyDescent="0.3">
      <c r="A21" s="141"/>
      <c r="B21" s="122">
        <v>45537</v>
      </c>
      <c r="C21" s="74">
        <v>27</v>
      </c>
      <c r="D21" s="3" t="s">
        <v>148</v>
      </c>
      <c r="E21" s="2" t="s">
        <v>612</v>
      </c>
    </row>
    <row r="22" spans="1:5" x14ac:dyDescent="0.3">
      <c r="A22" s="141"/>
      <c r="B22" s="122">
        <v>45537</v>
      </c>
      <c r="C22" s="74">
        <v>18</v>
      </c>
      <c r="D22" s="3" t="s">
        <v>148</v>
      </c>
      <c r="E22" t="s">
        <v>303</v>
      </c>
    </row>
    <row r="23" spans="1:5" x14ac:dyDescent="0.3">
      <c r="A23" s="141"/>
      <c r="B23" s="122">
        <v>45537</v>
      </c>
      <c r="C23" s="74">
        <v>18</v>
      </c>
      <c r="D23" s="3" t="s">
        <v>148</v>
      </c>
      <c r="E23" s="2" t="s">
        <v>613</v>
      </c>
    </row>
    <row r="24" spans="1:5" x14ac:dyDescent="0.3">
      <c r="A24" s="141"/>
      <c r="B24" s="122">
        <v>45537</v>
      </c>
      <c r="C24" s="74">
        <v>18</v>
      </c>
      <c r="D24" s="3" t="s">
        <v>148</v>
      </c>
      <c r="E24" t="s">
        <v>599</v>
      </c>
    </row>
    <row r="25" spans="1:5" x14ac:dyDescent="0.3">
      <c r="A25" s="141"/>
      <c r="B25" s="122">
        <v>45537</v>
      </c>
      <c r="C25" s="74">
        <v>18</v>
      </c>
      <c r="D25" s="3" t="s">
        <v>148</v>
      </c>
      <c r="E25" s="2" t="s">
        <v>304</v>
      </c>
    </row>
    <row r="26" spans="1:5" x14ac:dyDescent="0.3">
      <c r="A26" s="141"/>
      <c r="B26" s="122">
        <v>45537</v>
      </c>
      <c r="C26" s="74">
        <v>18</v>
      </c>
      <c r="D26" s="3" t="s">
        <v>148</v>
      </c>
      <c r="E26" s="2" t="s">
        <v>614</v>
      </c>
    </row>
    <row r="27" spans="1:5" x14ac:dyDescent="0.3">
      <c r="A27" s="141"/>
      <c r="B27" s="122">
        <v>45537</v>
      </c>
      <c r="C27" s="74">
        <v>27</v>
      </c>
      <c r="D27" s="3" t="s">
        <v>148</v>
      </c>
      <c r="E27" s="2" t="s">
        <v>323</v>
      </c>
    </row>
    <row r="28" spans="1:5" x14ac:dyDescent="0.3">
      <c r="A28" s="141"/>
      <c r="B28" s="122">
        <v>45537</v>
      </c>
      <c r="C28" s="74">
        <v>18</v>
      </c>
      <c r="D28" s="3" t="s">
        <v>148</v>
      </c>
      <c r="E28" s="2" t="s">
        <v>615</v>
      </c>
    </row>
    <row r="29" spans="1:5" x14ac:dyDescent="0.3">
      <c r="A29" s="141"/>
      <c r="B29" s="122">
        <v>45538</v>
      </c>
      <c r="C29" s="74">
        <v>27</v>
      </c>
      <c r="D29" s="3" t="s">
        <v>148</v>
      </c>
      <c r="E29" s="2" t="s">
        <v>717</v>
      </c>
    </row>
    <row r="30" spans="1:5" x14ac:dyDescent="0.3">
      <c r="A30" s="141"/>
      <c r="B30" s="122">
        <v>45538</v>
      </c>
      <c r="C30" s="74">
        <v>18</v>
      </c>
      <c r="D30" s="3" t="s">
        <v>148</v>
      </c>
      <c r="E30" s="2" t="s">
        <v>307</v>
      </c>
    </row>
    <row r="31" spans="1:5" x14ac:dyDescent="0.3">
      <c r="A31" s="141"/>
      <c r="B31" s="122">
        <v>45538</v>
      </c>
      <c r="C31" s="74">
        <v>18</v>
      </c>
      <c r="D31" s="3" t="s">
        <v>148</v>
      </c>
      <c r="E31" t="s">
        <v>619</v>
      </c>
    </row>
    <row r="32" spans="1:5" x14ac:dyDescent="0.3">
      <c r="A32" s="141"/>
      <c r="B32" s="122">
        <v>45539</v>
      </c>
      <c r="C32" s="74">
        <v>18</v>
      </c>
      <c r="D32" s="3" t="s">
        <v>148</v>
      </c>
      <c r="E32" s="2" t="s">
        <v>245</v>
      </c>
    </row>
    <row r="33" spans="1:5" x14ac:dyDescent="0.3">
      <c r="A33" s="141"/>
      <c r="B33" s="122">
        <v>45540</v>
      </c>
      <c r="C33" s="74">
        <v>3375</v>
      </c>
      <c r="D33" s="3" t="s">
        <v>148</v>
      </c>
      <c r="E33" s="2" t="s">
        <v>324</v>
      </c>
    </row>
    <row r="34" spans="1:5" x14ac:dyDescent="0.3">
      <c r="A34" s="141"/>
      <c r="B34" s="122">
        <v>45541</v>
      </c>
      <c r="C34" s="74">
        <v>9</v>
      </c>
      <c r="D34" s="3" t="s">
        <v>148</v>
      </c>
      <c r="E34" s="2" t="s">
        <v>595</v>
      </c>
    </row>
    <row r="35" spans="1:5" x14ac:dyDescent="0.3">
      <c r="A35" s="141"/>
      <c r="B35" s="122">
        <v>45544</v>
      </c>
      <c r="C35" s="74">
        <v>36</v>
      </c>
      <c r="D35" s="3" t="s">
        <v>148</v>
      </c>
      <c r="E35" s="2" t="s">
        <v>594</v>
      </c>
    </row>
    <row r="36" spans="1:5" x14ac:dyDescent="0.3">
      <c r="A36" s="141"/>
      <c r="B36" s="122">
        <v>45544</v>
      </c>
      <c r="C36" s="74">
        <v>27</v>
      </c>
      <c r="D36" s="3" t="s">
        <v>148</v>
      </c>
      <c r="E36" t="s">
        <v>596</v>
      </c>
    </row>
    <row r="37" spans="1:5" x14ac:dyDescent="0.3">
      <c r="A37" s="141"/>
      <c r="B37" s="122">
        <v>45544</v>
      </c>
      <c r="C37" s="74">
        <v>27</v>
      </c>
      <c r="D37" s="3" t="s">
        <v>148</v>
      </c>
      <c r="E37" t="s">
        <v>305</v>
      </c>
    </row>
    <row r="38" spans="1:5" x14ac:dyDescent="0.3">
      <c r="A38" s="141"/>
      <c r="B38" s="122">
        <v>45544</v>
      </c>
      <c r="C38" s="74">
        <v>15</v>
      </c>
      <c r="D38" s="3" t="s">
        <v>148</v>
      </c>
      <c r="E38" t="s">
        <v>598</v>
      </c>
    </row>
    <row r="39" spans="1:5" x14ac:dyDescent="0.3">
      <c r="A39" s="141"/>
      <c r="B39" s="122">
        <v>45544</v>
      </c>
      <c r="C39" s="74">
        <v>18</v>
      </c>
      <c r="D39" s="3" t="s">
        <v>148</v>
      </c>
      <c r="E39" t="s">
        <v>325</v>
      </c>
    </row>
    <row r="40" spans="1:5" x14ac:dyDescent="0.3">
      <c r="A40" s="141"/>
      <c r="B40" s="122">
        <v>45545</v>
      </c>
      <c r="C40" s="74">
        <v>27</v>
      </c>
      <c r="D40" s="3" t="s">
        <v>148</v>
      </c>
      <c r="E40" s="2" t="s">
        <v>226</v>
      </c>
    </row>
    <row r="41" spans="1:5" x14ac:dyDescent="0.3">
      <c r="A41" s="141"/>
      <c r="B41" s="122">
        <v>45545</v>
      </c>
      <c r="C41" s="74">
        <v>27</v>
      </c>
      <c r="D41" s="3" t="s">
        <v>148</v>
      </c>
      <c r="E41" t="s">
        <v>624</v>
      </c>
    </row>
    <row r="42" spans="1:5" x14ac:dyDescent="0.3">
      <c r="A42" s="141"/>
      <c r="B42" s="122">
        <v>45545</v>
      </c>
      <c r="C42" s="74">
        <v>18</v>
      </c>
      <c r="D42" s="3" t="s">
        <v>148</v>
      </c>
      <c r="E42" s="2" t="s">
        <v>228</v>
      </c>
    </row>
    <row r="43" spans="1:5" x14ac:dyDescent="0.3">
      <c r="A43" s="141"/>
      <c r="B43" s="122">
        <v>45545</v>
      </c>
      <c r="C43" s="74">
        <v>18</v>
      </c>
      <c r="D43" s="3" t="s">
        <v>148</v>
      </c>
      <c r="E43" s="2" t="s">
        <v>597</v>
      </c>
    </row>
    <row r="44" spans="1:5" x14ac:dyDescent="0.3">
      <c r="A44" s="141"/>
      <c r="B44" s="122">
        <v>45546</v>
      </c>
      <c r="C44" s="74">
        <v>18</v>
      </c>
      <c r="D44" s="3" t="s">
        <v>148</v>
      </c>
      <c r="E44" s="2" t="s">
        <v>593</v>
      </c>
    </row>
    <row r="45" spans="1:5" x14ac:dyDescent="0.3">
      <c r="A45" s="141"/>
      <c r="B45" s="122">
        <v>45547</v>
      </c>
      <c r="C45" s="74">
        <v>27</v>
      </c>
      <c r="D45" s="3" t="s">
        <v>148</v>
      </c>
      <c r="E45" s="2" t="s">
        <v>718</v>
      </c>
    </row>
    <row r="46" spans="1:5" x14ac:dyDescent="0.3">
      <c r="A46" s="141"/>
      <c r="B46" s="122">
        <v>45551</v>
      </c>
      <c r="C46" s="74">
        <v>18</v>
      </c>
      <c r="D46" s="3" t="s">
        <v>148</v>
      </c>
      <c r="E46" t="s">
        <v>224</v>
      </c>
    </row>
    <row r="47" spans="1:5" x14ac:dyDescent="0.3">
      <c r="A47" s="141"/>
      <c r="B47" s="122">
        <v>45551</v>
      </c>
      <c r="C47" s="74">
        <v>27</v>
      </c>
      <c r="D47" s="3" t="s">
        <v>148</v>
      </c>
      <c r="E47" s="2" t="s">
        <v>719</v>
      </c>
    </row>
    <row r="48" spans="1:5" x14ac:dyDescent="0.3">
      <c r="A48" s="141"/>
      <c r="B48" s="122">
        <v>45558</v>
      </c>
      <c r="C48" s="74">
        <v>15</v>
      </c>
      <c r="D48" s="3" t="s">
        <v>151</v>
      </c>
      <c r="E48" s="2" t="s">
        <v>184</v>
      </c>
    </row>
    <row r="49" spans="1:14" x14ac:dyDescent="0.3">
      <c r="B49" s="122">
        <v>45558</v>
      </c>
      <c r="C49" s="74">
        <v>18</v>
      </c>
      <c r="D49" s="3" t="s">
        <v>148</v>
      </c>
      <c r="E49" s="2" t="s">
        <v>592</v>
      </c>
    </row>
    <row r="50" spans="1:14" x14ac:dyDescent="0.3">
      <c r="B50" s="122">
        <v>45560</v>
      </c>
      <c r="C50" s="74">
        <v>27</v>
      </c>
      <c r="D50" s="3" t="s">
        <v>250</v>
      </c>
      <c r="E50" s="2" t="s">
        <v>720</v>
      </c>
    </row>
    <row r="51" spans="1:14" x14ac:dyDescent="0.3">
      <c r="C51" s="74"/>
      <c r="D51" s="3"/>
      <c r="E51" s="2"/>
    </row>
    <row r="52" spans="1:14" x14ac:dyDescent="0.3">
      <c r="C52" s="120">
        <f>SUM(C6:C50)</f>
        <v>4287</v>
      </c>
      <c r="D52" s="3"/>
      <c r="E52" s="2"/>
      <c r="G52" s="120">
        <f>SUM(G6:G24)</f>
        <v>4884.66</v>
      </c>
    </row>
    <row r="53" spans="1:14" x14ac:dyDescent="0.3">
      <c r="B53" s="162">
        <v>45566</v>
      </c>
      <c r="C53" s="163"/>
      <c r="D53" s="163"/>
      <c r="E53" s="163"/>
      <c r="F53" s="164">
        <v>45566</v>
      </c>
      <c r="G53" s="165"/>
      <c r="H53" s="165"/>
      <c r="I53" s="165"/>
      <c r="J53" s="118">
        <f>J5+C52-G52</f>
        <v>22731.37</v>
      </c>
    </row>
    <row r="54" spans="1:14" x14ac:dyDescent="0.3">
      <c r="A54" s="141"/>
      <c r="B54" s="122">
        <v>45568</v>
      </c>
      <c r="C54" s="74">
        <v>18</v>
      </c>
      <c r="D54" s="30" t="s">
        <v>148</v>
      </c>
      <c r="E54" s="2" t="s">
        <v>623</v>
      </c>
      <c r="F54" s="122">
        <v>45575</v>
      </c>
      <c r="G54" s="76">
        <v>154</v>
      </c>
      <c r="H54" s="78" t="s">
        <v>247</v>
      </c>
      <c r="I54" t="s">
        <v>628</v>
      </c>
    </row>
    <row r="55" spans="1:14" x14ac:dyDescent="0.3">
      <c r="A55" s="141"/>
      <c r="B55" s="122">
        <v>45568</v>
      </c>
      <c r="C55" s="74">
        <v>36</v>
      </c>
      <c r="D55" s="30" t="s">
        <v>148</v>
      </c>
      <c r="E55" s="2" t="s">
        <v>369</v>
      </c>
      <c r="F55" s="122">
        <v>45575</v>
      </c>
      <c r="G55" s="76">
        <v>423.5</v>
      </c>
      <c r="H55" s="78" t="s">
        <v>247</v>
      </c>
      <c r="I55" t="s">
        <v>629</v>
      </c>
    </row>
    <row r="56" spans="1:14" x14ac:dyDescent="0.3">
      <c r="A56" s="141"/>
      <c r="B56" s="122">
        <v>45573</v>
      </c>
      <c r="C56" s="74">
        <v>18</v>
      </c>
      <c r="D56" s="30" t="s">
        <v>148</v>
      </c>
      <c r="E56" s="2" t="s">
        <v>309</v>
      </c>
      <c r="F56" s="122">
        <v>45575</v>
      </c>
      <c r="G56" s="76">
        <v>231</v>
      </c>
      <c r="H56" s="78" t="s">
        <v>247</v>
      </c>
      <c r="I56" t="s">
        <v>236</v>
      </c>
    </row>
    <row r="57" spans="1:14" x14ac:dyDescent="0.3">
      <c r="A57" s="141"/>
      <c r="B57" s="122">
        <v>45573</v>
      </c>
      <c r="C57" s="74">
        <v>18</v>
      </c>
      <c r="D57" s="30" t="s">
        <v>148</v>
      </c>
      <c r="E57" s="2" t="s">
        <v>246</v>
      </c>
      <c r="F57" s="122">
        <v>45575</v>
      </c>
      <c r="G57" s="76">
        <v>231</v>
      </c>
      <c r="H57" s="78" t="s">
        <v>247</v>
      </c>
      <c r="I57" t="s">
        <v>237</v>
      </c>
      <c r="M57" s="3" t="s">
        <v>210</v>
      </c>
      <c r="N57" s="2"/>
    </row>
    <row r="58" spans="1:14" x14ac:dyDescent="0.3">
      <c r="A58" s="141"/>
      <c r="B58" s="122">
        <v>45574</v>
      </c>
      <c r="C58" s="74">
        <v>18</v>
      </c>
      <c r="D58" s="30" t="s">
        <v>148</v>
      </c>
      <c r="E58" s="2" t="s">
        <v>301</v>
      </c>
      <c r="F58" s="122">
        <v>45575</v>
      </c>
      <c r="G58" s="76">
        <v>231</v>
      </c>
      <c r="H58" s="78" t="s">
        <v>247</v>
      </c>
      <c r="I58" t="s">
        <v>326</v>
      </c>
    </row>
    <row r="59" spans="1:14" x14ac:dyDescent="0.3">
      <c r="A59" s="141"/>
      <c r="B59" s="122">
        <v>45583</v>
      </c>
      <c r="C59" s="74">
        <v>18</v>
      </c>
      <c r="D59" s="30" t="s">
        <v>148</v>
      </c>
      <c r="E59" s="2" t="s">
        <v>300</v>
      </c>
      <c r="F59" s="77"/>
      <c r="G59" s="76"/>
      <c r="H59" s="78"/>
    </row>
    <row r="60" spans="1:14" x14ac:dyDescent="0.3">
      <c r="A60" s="141"/>
      <c r="B60" s="122">
        <v>45586</v>
      </c>
      <c r="C60" s="74">
        <v>15</v>
      </c>
      <c r="D60" s="30" t="s">
        <v>151</v>
      </c>
      <c r="E60" s="2" t="s">
        <v>184</v>
      </c>
      <c r="F60" s="77"/>
      <c r="G60" s="76"/>
      <c r="H60" s="78"/>
    </row>
    <row r="61" spans="1:14" x14ac:dyDescent="0.3">
      <c r="B61" s="122">
        <v>45589</v>
      </c>
      <c r="C61" s="74">
        <v>36</v>
      </c>
      <c r="D61" s="30" t="s">
        <v>148</v>
      </c>
      <c r="E61" t="s">
        <v>721</v>
      </c>
      <c r="F61" s="77"/>
      <c r="G61" s="76"/>
      <c r="H61" s="78"/>
    </row>
    <row r="62" spans="1:14" x14ac:dyDescent="0.3">
      <c r="A62" s="142"/>
      <c r="B62" s="122">
        <v>45589</v>
      </c>
      <c r="C62" s="74">
        <v>36</v>
      </c>
      <c r="D62" s="30" t="s">
        <v>148</v>
      </c>
      <c r="E62" t="s">
        <v>602</v>
      </c>
      <c r="F62" s="77"/>
      <c r="G62" s="76"/>
      <c r="H62" s="78"/>
    </row>
    <row r="63" spans="1:14" x14ac:dyDescent="0.3">
      <c r="A63" s="142"/>
      <c r="B63" s="122">
        <v>45593</v>
      </c>
      <c r="C63" s="74">
        <v>24</v>
      </c>
      <c r="D63" s="30" t="s">
        <v>148</v>
      </c>
      <c r="E63" t="s">
        <v>601</v>
      </c>
      <c r="F63" s="77"/>
      <c r="G63" s="76"/>
      <c r="H63" s="78"/>
    </row>
    <row r="64" spans="1:14" x14ac:dyDescent="0.3">
      <c r="A64" s="142"/>
      <c r="B64" s="122">
        <v>45593</v>
      </c>
      <c r="C64" s="74">
        <v>24</v>
      </c>
      <c r="D64" s="3" t="s">
        <v>148</v>
      </c>
      <c r="E64" s="2" t="s">
        <v>606</v>
      </c>
    </row>
    <row r="65" spans="1:5" x14ac:dyDescent="0.3">
      <c r="A65" s="142"/>
      <c r="B65" s="122">
        <v>45593</v>
      </c>
      <c r="C65" s="74">
        <v>36</v>
      </c>
      <c r="D65" s="30" t="s">
        <v>148</v>
      </c>
      <c r="E65" s="2" t="s">
        <v>724</v>
      </c>
    </row>
    <row r="66" spans="1:5" x14ac:dyDescent="0.3">
      <c r="A66" s="142"/>
      <c r="B66" s="122">
        <v>45593</v>
      </c>
      <c r="C66" s="74">
        <v>36</v>
      </c>
      <c r="D66" s="3" t="s">
        <v>148</v>
      </c>
      <c r="E66" s="2" t="s">
        <v>722</v>
      </c>
    </row>
    <row r="67" spans="1:5" x14ac:dyDescent="0.3">
      <c r="A67" s="142"/>
      <c r="B67" s="122">
        <v>45593</v>
      </c>
      <c r="C67" s="74">
        <v>24</v>
      </c>
      <c r="D67" s="3" t="s">
        <v>148</v>
      </c>
      <c r="E67" s="2" t="s">
        <v>603</v>
      </c>
    </row>
    <row r="68" spans="1:5" x14ac:dyDescent="0.3">
      <c r="A68" s="142"/>
      <c r="B68" s="122">
        <v>45593</v>
      </c>
      <c r="C68" s="74">
        <v>36</v>
      </c>
      <c r="D68" s="3" t="s">
        <v>148</v>
      </c>
      <c r="E68" s="2" t="s">
        <v>723</v>
      </c>
    </row>
    <row r="69" spans="1:5" x14ac:dyDescent="0.3">
      <c r="A69" s="142"/>
      <c r="B69" s="122">
        <v>45593</v>
      </c>
      <c r="C69" s="74">
        <v>24</v>
      </c>
      <c r="D69" s="3" t="s">
        <v>148</v>
      </c>
      <c r="E69" s="2" t="s">
        <v>308</v>
      </c>
    </row>
    <row r="70" spans="1:5" x14ac:dyDescent="0.3">
      <c r="A70" s="142"/>
      <c r="B70" s="122">
        <v>45593</v>
      </c>
      <c r="C70" s="74">
        <v>36</v>
      </c>
      <c r="D70" s="3" t="s">
        <v>148</v>
      </c>
      <c r="E70" s="2" t="s">
        <v>642</v>
      </c>
    </row>
    <row r="71" spans="1:5" x14ac:dyDescent="0.3">
      <c r="A71" s="142"/>
      <c r="B71" s="122">
        <v>45593</v>
      </c>
      <c r="C71" s="74">
        <v>24</v>
      </c>
      <c r="D71" s="3" t="s">
        <v>148</v>
      </c>
      <c r="E71" s="2" t="s">
        <v>298</v>
      </c>
    </row>
    <row r="72" spans="1:5" x14ac:dyDescent="0.3">
      <c r="A72" s="142"/>
      <c r="B72" s="122">
        <v>45593</v>
      </c>
      <c r="C72" s="74">
        <v>36</v>
      </c>
      <c r="D72" s="3" t="s">
        <v>148</v>
      </c>
      <c r="E72" s="2" t="s">
        <v>718</v>
      </c>
    </row>
    <row r="73" spans="1:5" x14ac:dyDescent="0.3">
      <c r="A73" s="142"/>
      <c r="B73" s="122">
        <v>45593</v>
      </c>
      <c r="C73" s="74">
        <v>24</v>
      </c>
      <c r="D73" s="3" t="s">
        <v>148</v>
      </c>
      <c r="E73" s="2" t="s">
        <v>328</v>
      </c>
    </row>
    <row r="74" spans="1:5" x14ac:dyDescent="0.3">
      <c r="A74" s="142"/>
      <c r="B74" s="122">
        <v>45593</v>
      </c>
      <c r="C74" s="74">
        <v>24</v>
      </c>
      <c r="D74" s="3" t="s">
        <v>148</v>
      </c>
      <c r="E74" s="2" t="s">
        <v>329</v>
      </c>
    </row>
    <row r="75" spans="1:5" x14ac:dyDescent="0.3">
      <c r="A75" s="142"/>
      <c r="B75" s="122">
        <v>45593</v>
      </c>
      <c r="C75" s="74">
        <v>24</v>
      </c>
      <c r="D75" s="3" t="s">
        <v>148</v>
      </c>
      <c r="E75" t="s">
        <v>598</v>
      </c>
    </row>
    <row r="76" spans="1:5" x14ac:dyDescent="0.3">
      <c r="A76" s="142"/>
      <c r="B76" s="122">
        <v>45595</v>
      </c>
      <c r="C76" s="74">
        <v>24</v>
      </c>
      <c r="D76" s="3" t="s">
        <v>148</v>
      </c>
      <c r="E76" s="2" t="s">
        <v>321</v>
      </c>
    </row>
    <row r="77" spans="1:5" x14ac:dyDescent="0.3">
      <c r="A77" s="142"/>
      <c r="B77" s="122">
        <v>45595</v>
      </c>
      <c r="C77" s="74">
        <v>24</v>
      </c>
      <c r="D77" s="3" t="s">
        <v>148</v>
      </c>
      <c r="E77" t="s">
        <v>619</v>
      </c>
    </row>
    <row r="78" spans="1:5" x14ac:dyDescent="0.3">
      <c r="A78" s="142"/>
      <c r="B78" s="122">
        <v>45595</v>
      </c>
      <c r="C78" s="74">
        <v>24</v>
      </c>
      <c r="D78" s="3" t="s">
        <v>148</v>
      </c>
      <c r="E78" s="2" t="s">
        <v>625</v>
      </c>
    </row>
    <row r="79" spans="1:5" x14ac:dyDescent="0.3">
      <c r="A79" s="142"/>
      <c r="B79" s="122">
        <v>45595</v>
      </c>
      <c r="C79" s="74">
        <v>36</v>
      </c>
      <c r="D79" s="3" t="s">
        <v>148</v>
      </c>
      <c r="E79" s="2" t="s">
        <v>626</v>
      </c>
    </row>
    <row r="80" spans="1:5" x14ac:dyDescent="0.3">
      <c r="A80" s="142"/>
      <c r="B80" s="122">
        <v>45596</v>
      </c>
      <c r="C80" s="74">
        <v>24</v>
      </c>
      <c r="D80" s="3" t="s">
        <v>148</v>
      </c>
      <c r="E80" s="2" t="s">
        <v>627</v>
      </c>
    </row>
    <row r="81" spans="1:10" x14ac:dyDescent="0.3">
      <c r="A81" s="142"/>
      <c r="B81" s="122">
        <v>45596</v>
      </c>
      <c r="C81" s="74">
        <v>24</v>
      </c>
      <c r="D81" s="3" t="s">
        <v>148</v>
      </c>
      <c r="E81" s="2" t="s">
        <v>330</v>
      </c>
    </row>
    <row r="82" spans="1:10" x14ac:dyDescent="0.3">
      <c r="A82" s="142"/>
      <c r="B82" s="122">
        <v>45596</v>
      </c>
      <c r="C82" s="74">
        <v>24</v>
      </c>
      <c r="D82" s="3" t="s">
        <v>148</v>
      </c>
      <c r="E82" t="s">
        <v>715</v>
      </c>
    </row>
    <row r="83" spans="1:10" x14ac:dyDescent="0.3">
      <c r="A83" s="142"/>
      <c r="C83" s="74"/>
      <c r="D83" s="3"/>
      <c r="E83" s="2"/>
    </row>
    <row r="84" spans="1:10" x14ac:dyDescent="0.3">
      <c r="A84" s="142"/>
      <c r="C84" s="74"/>
      <c r="D84" s="3"/>
      <c r="E84" s="2"/>
    </row>
    <row r="85" spans="1:10" x14ac:dyDescent="0.3">
      <c r="C85" s="120">
        <f>SUM(C54:C84)</f>
        <v>765</v>
      </c>
      <c r="E85" s="2"/>
      <c r="F85" s="77"/>
      <c r="G85" s="75">
        <f>SUM(G54:G79)</f>
        <v>1270.5</v>
      </c>
      <c r="H85" s="78"/>
    </row>
    <row r="86" spans="1:10" x14ac:dyDescent="0.3">
      <c r="B86" s="162">
        <v>45597</v>
      </c>
      <c r="C86" s="162"/>
      <c r="D86" s="162"/>
      <c r="E86" s="162"/>
      <c r="F86" s="164">
        <v>45597</v>
      </c>
      <c r="G86" s="164"/>
      <c r="H86" s="164"/>
      <c r="I86" s="164"/>
      <c r="J86" s="118">
        <f>J53+C85-G85</f>
        <v>22225.87</v>
      </c>
    </row>
    <row r="87" spans="1:10" x14ac:dyDescent="0.3">
      <c r="A87" s="142"/>
      <c r="B87" s="122">
        <v>45600</v>
      </c>
      <c r="C87" s="74">
        <v>36</v>
      </c>
      <c r="D87" s="30" t="s">
        <v>148</v>
      </c>
      <c r="E87" s="2" t="s">
        <v>297</v>
      </c>
      <c r="F87" s="122">
        <v>45614</v>
      </c>
      <c r="G87" s="76">
        <v>50</v>
      </c>
      <c r="H87" s="78" t="s">
        <v>247</v>
      </c>
      <c r="I87" t="s">
        <v>232</v>
      </c>
    </row>
    <row r="88" spans="1:10" x14ac:dyDescent="0.3">
      <c r="A88" s="142"/>
      <c r="B88" s="122">
        <v>45600</v>
      </c>
      <c r="C88" s="74">
        <v>36</v>
      </c>
      <c r="D88" s="30" t="s">
        <v>148</v>
      </c>
      <c r="E88" s="2" t="s">
        <v>245</v>
      </c>
      <c r="F88" s="122">
        <v>45614</v>
      </c>
      <c r="G88" s="76">
        <v>50</v>
      </c>
      <c r="H88" s="78" t="s">
        <v>247</v>
      </c>
      <c r="I88" t="s">
        <v>233</v>
      </c>
    </row>
    <row r="89" spans="1:10" x14ac:dyDescent="0.3">
      <c r="A89" s="142"/>
      <c r="B89" s="122">
        <v>45601</v>
      </c>
      <c r="C89" s="74">
        <v>36</v>
      </c>
      <c r="D89" s="30" t="s">
        <v>148</v>
      </c>
      <c r="E89" s="2" t="s">
        <v>331</v>
      </c>
      <c r="F89" s="122">
        <v>45614</v>
      </c>
      <c r="G89" s="76">
        <v>102.85</v>
      </c>
      <c r="H89" s="78" t="s">
        <v>247</v>
      </c>
      <c r="I89" t="s">
        <v>249</v>
      </c>
    </row>
    <row r="90" spans="1:10" x14ac:dyDescent="0.3">
      <c r="A90" s="142"/>
      <c r="B90" s="122">
        <v>45602</v>
      </c>
      <c r="C90" s="74">
        <v>24</v>
      </c>
      <c r="D90" s="30" t="s">
        <v>148</v>
      </c>
      <c r="E90" t="s">
        <v>622</v>
      </c>
      <c r="F90" s="122">
        <v>45614</v>
      </c>
      <c r="G90" s="76">
        <v>110.05</v>
      </c>
      <c r="H90" s="78" t="s">
        <v>247</v>
      </c>
      <c r="I90" t="s">
        <v>334</v>
      </c>
    </row>
    <row r="91" spans="1:10" x14ac:dyDescent="0.3">
      <c r="A91" s="142"/>
      <c r="B91" s="122">
        <v>45602</v>
      </c>
      <c r="C91" s="74">
        <v>24</v>
      </c>
      <c r="D91" s="30" t="s">
        <v>148</v>
      </c>
      <c r="E91" s="2" t="s">
        <v>630</v>
      </c>
      <c r="F91" s="122">
        <v>45614</v>
      </c>
      <c r="G91" s="76">
        <v>96.25</v>
      </c>
      <c r="H91" s="78" t="s">
        <v>247</v>
      </c>
      <c r="I91" s="133" t="s">
        <v>235</v>
      </c>
    </row>
    <row r="92" spans="1:10" x14ac:dyDescent="0.3">
      <c r="A92" s="142"/>
      <c r="B92" s="122">
        <v>45603</v>
      </c>
      <c r="C92" s="74">
        <v>36</v>
      </c>
      <c r="D92" s="30" t="s">
        <v>148</v>
      </c>
      <c r="E92" s="2" t="s">
        <v>600</v>
      </c>
      <c r="F92" s="122">
        <v>45614</v>
      </c>
      <c r="G92" s="76">
        <v>96.25</v>
      </c>
      <c r="H92" s="78" t="s">
        <v>247</v>
      </c>
      <c r="I92" t="s">
        <v>230</v>
      </c>
    </row>
    <row r="93" spans="1:10" x14ac:dyDescent="0.3">
      <c r="A93" s="142"/>
      <c r="B93" s="122">
        <v>45603</v>
      </c>
      <c r="C93" s="74">
        <v>24</v>
      </c>
      <c r="D93" s="30" t="s">
        <v>148</v>
      </c>
      <c r="E93" s="2" t="s">
        <v>304</v>
      </c>
      <c r="F93" s="122">
        <v>45614</v>
      </c>
      <c r="G93" s="76">
        <v>96.25</v>
      </c>
      <c r="H93" s="78" t="s">
        <v>247</v>
      </c>
      <c r="I93" t="s">
        <v>333</v>
      </c>
    </row>
    <row r="94" spans="1:10" x14ac:dyDescent="0.3">
      <c r="A94" s="142"/>
      <c r="B94" s="122">
        <v>45607</v>
      </c>
      <c r="C94" s="74">
        <v>24</v>
      </c>
      <c r="D94" s="30" t="s">
        <v>148</v>
      </c>
      <c r="E94" s="2" t="s">
        <v>311</v>
      </c>
      <c r="F94" s="122">
        <v>45614</v>
      </c>
      <c r="G94" s="76">
        <v>81.709999999999994</v>
      </c>
      <c r="H94" s="78" t="s">
        <v>247</v>
      </c>
      <c r="I94" t="s">
        <v>566</v>
      </c>
    </row>
    <row r="95" spans="1:10" x14ac:dyDescent="0.3">
      <c r="A95" s="142"/>
      <c r="B95" s="122">
        <v>45608</v>
      </c>
      <c r="C95" s="74">
        <v>1315</v>
      </c>
      <c r="D95" s="30" t="s">
        <v>332</v>
      </c>
      <c r="E95" s="2" t="s">
        <v>605</v>
      </c>
    </row>
    <row r="96" spans="1:10" x14ac:dyDescent="0.3">
      <c r="A96" s="142"/>
      <c r="B96" s="122">
        <v>45609</v>
      </c>
      <c r="C96" s="74">
        <v>24</v>
      </c>
      <c r="D96" s="30" t="s">
        <v>148</v>
      </c>
      <c r="E96" s="2" t="s">
        <v>631</v>
      </c>
    </row>
    <row r="97" spans="1:5" x14ac:dyDescent="0.3">
      <c r="A97" s="142"/>
      <c r="B97" s="122">
        <v>45610</v>
      </c>
      <c r="C97" s="74">
        <v>18</v>
      </c>
      <c r="D97" s="30" t="s">
        <v>148</v>
      </c>
      <c r="E97" s="2" t="s">
        <v>631</v>
      </c>
    </row>
    <row r="98" spans="1:5" x14ac:dyDescent="0.3">
      <c r="B98" s="122">
        <v>45614</v>
      </c>
      <c r="C98" s="74">
        <v>33</v>
      </c>
      <c r="D98" s="30" t="s">
        <v>148</v>
      </c>
      <c r="E98" s="2" t="s">
        <v>335</v>
      </c>
    </row>
    <row r="99" spans="1:5" x14ac:dyDescent="0.3">
      <c r="B99" s="122">
        <v>45615</v>
      </c>
      <c r="C99" s="74">
        <v>24</v>
      </c>
      <c r="D99" s="30" t="s">
        <v>148</v>
      </c>
      <c r="E99" t="s">
        <v>632</v>
      </c>
    </row>
    <row r="100" spans="1:5" x14ac:dyDescent="0.3">
      <c r="B100" s="122">
        <v>45617</v>
      </c>
      <c r="C100" s="74">
        <v>1</v>
      </c>
      <c r="D100" s="30" t="s">
        <v>151</v>
      </c>
      <c r="E100" s="2" t="s">
        <v>184</v>
      </c>
    </row>
    <row r="101" spans="1:5" x14ac:dyDescent="0.3">
      <c r="B101" s="122">
        <v>45621</v>
      </c>
      <c r="C101" s="74">
        <v>24</v>
      </c>
      <c r="D101" s="30" t="s">
        <v>148</v>
      </c>
      <c r="E101" s="2" t="s">
        <v>634</v>
      </c>
    </row>
    <row r="102" spans="1:5" x14ac:dyDescent="0.3">
      <c r="B102" s="122">
        <v>45621</v>
      </c>
      <c r="C102" s="74">
        <v>12</v>
      </c>
      <c r="D102" s="30" t="s">
        <v>148</v>
      </c>
      <c r="E102" s="2" t="s">
        <v>633</v>
      </c>
    </row>
    <row r="103" spans="1:5" x14ac:dyDescent="0.3">
      <c r="B103" s="122">
        <v>45621</v>
      </c>
      <c r="C103" s="74">
        <v>36</v>
      </c>
      <c r="D103" s="30" t="s">
        <v>148</v>
      </c>
      <c r="E103" s="2" t="s">
        <v>725</v>
      </c>
    </row>
    <row r="104" spans="1:5" x14ac:dyDescent="0.3">
      <c r="B104" s="122">
        <v>45621</v>
      </c>
      <c r="C104" s="74">
        <v>24</v>
      </c>
      <c r="D104" s="30" t="s">
        <v>148</v>
      </c>
      <c r="E104" s="2" t="s">
        <v>307</v>
      </c>
    </row>
    <row r="105" spans="1:5" x14ac:dyDescent="0.3">
      <c r="B105" s="122">
        <v>45621</v>
      </c>
      <c r="C105" s="74">
        <v>24</v>
      </c>
      <c r="D105" s="30" t="s">
        <v>148</v>
      </c>
      <c r="E105" s="2" t="s">
        <v>607</v>
      </c>
    </row>
    <row r="106" spans="1:5" x14ac:dyDescent="0.3">
      <c r="B106" s="122">
        <v>45621</v>
      </c>
      <c r="C106" s="74">
        <v>24</v>
      </c>
      <c r="D106" s="30" t="s">
        <v>148</v>
      </c>
      <c r="E106" s="2" t="s">
        <v>614</v>
      </c>
    </row>
    <row r="107" spans="1:5" x14ac:dyDescent="0.3">
      <c r="B107" s="122">
        <v>45621</v>
      </c>
      <c r="C107" s="74">
        <v>24</v>
      </c>
      <c r="D107" s="30" t="s">
        <v>148</v>
      </c>
      <c r="E107" s="2" t="s">
        <v>246</v>
      </c>
    </row>
    <row r="108" spans="1:5" x14ac:dyDescent="0.3">
      <c r="B108" s="122">
        <v>45621</v>
      </c>
      <c r="C108" s="74">
        <v>24</v>
      </c>
      <c r="D108" s="30" t="s">
        <v>148</v>
      </c>
      <c r="E108" s="2" t="s">
        <v>336</v>
      </c>
    </row>
    <row r="109" spans="1:5" x14ac:dyDescent="0.3">
      <c r="B109" s="122">
        <v>45621</v>
      </c>
      <c r="C109" s="74">
        <v>24</v>
      </c>
      <c r="D109" s="30" t="s">
        <v>148</v>
      </c>
      <c r="E109" s="2" t="s">
        <v>300</v>
      </c>
    </row>
    <row r="110" spans="1:5" x14ac:dyDescent="0.3">
      <c r="B110" s="122">
        <v>45621</v>
      </c>
      <c r="C110" s="74">
        <v>36</v>
      </c>
      <c r="D110" s="30" t="s">
        <v>148</v>
      </c>
      <c r="E110" s="2" t="s">
        <v>299</v>
      </c>
    </row>
    <row r="111" spans="1:5" x14ac:dyDescent="0.3">
      <c r="B111" s="122">
        <v>45621</v>
      </c>
      <c r="C111" s="74">
        <v>48</v>
      </c>
      <c r="D111" s="30" t="s">
        <v>148</v>
      </c>
      <c r="E111" s="2" t="s">
        <v>310</v>
      </c>
    </row>
    <row r="112" spans="1:5" x14ac:dyDescent="0.3">
      <c r="B112" s="122">
        <v>45622</v>
      </c>
      <c r="C112" s="74">
        <v>24</v>
      </c>
      <c r="D112" s="30" t="s">
        <v>148</v>
      </c>
      <c r="E112" s="2" t="s">
        <v>635</v>
      </c>
    </row>
    <row r="113" spans="1:11" x14ac:dyDescent="0.3">
      <c r="B113" s="122">
        <v>45622</v>
      </c>
      <c r="C113" s="74">
        <v>100</v>
      </c>
      <c r="D113" s="30" t="s">
        <v>148</v>
      </c>
      <c r="E113" s="2" t="s">
        <v>337</v>
      </c>
    </row>
    <row r="114" spans="1:11" x14ac:dyDescent="0.3">
      <c r="B114" s="122">
        <v>45622</v>
      </c>
      <c r="C114" s="74">
        <v>24</v>
      </c>
      <c r="D114" s="30" t="s">
        <v>148</v>
      </c>
      <c r="E114" t="s">
        <v>313</v>
      </c>
    </row>
    <row r="115" spans="1:11" x14ac:dyDescent="0.3">
      <c r="B115" s="122">
        <v>45622</v>
      </c>
      <c r="C115" s="74">
        <v>24</v>
      </c>
      <c r="D115" s="30" t="s">
        <v>148</v>
      </c>
      <c r="E115" s="2" t="s">
        <v>636</v>
      </c>
    </row>
    <row r="116" spans="1:11" x14ac:dyDescent="0.3">
      <c r="B116" s="122">
        <v>45623</v>
      </c>
      <c r="C116" s="74">
        <v>24</v>
      </c>
      <c r="D116" s="30" t="s">
        <v>148</v>
      </c>
      <c r="E116" s="2" t="s">
        <v>613</v>
      </c>
    </row>
    <row r="117" spans="1:11" x14ac:dyDescent="0.3">
      <c r="B117" s="122">
        <v>45623</v>
      </c>
      <c r="C117" s="74">
        <v>12</v>
      </c>
      <c r="D117" s="30" t="s">
        <v>148</v>
      </c>
      <c r="E117" s="2" t="s">
        <v>726</v>
      </c>
    </row>
    <row r="118" spans="1:11" x14ac:dyDescent="0.3">
      <c r="B118" s="122">
        <v>45622</v>
      </c>
      <c r="C118" s="74">
        <v>26</v>
      </c>
      <c r="D118" s="30" t="s">
        <v>148</v>
      </c>
      <c r="E118" s="2" t="s">
        <v>637</v>
      </c>
    </row>
    <row r="119" spans="1:11" x14ac:dyDescent="0.3">
      <c r="C119" s="74"/>
      <c r="E119" s="2"/>
    </row>
    <row r="120" spans="1:11" x14ac:dyDescent="0.3">
      <c r="C120" s="120">
        <f>SUM(C87:C119)</f>
        <v>2189</v>
      </c>
      <c r="D120" s="3"/>
      <c r="E120" s="2"/>
      <c r="G120" s="120">
        <f>SUM(G87:G94)</f>
        <v>683.36</v>
      </c>
    </row>
    <row r="121" spans="1:11" x14ac:dyDescent="0.3">
      <c r="B121" s="162">
        <v>45261</v>
      </c>
      <c r="C121" s="163"/>
      <c r="D121" s="163"/>
      <c r="E121" s="163"/>
      <c r="F121" s="164">
        <v>44896</v>
      </c>
      <c r="G121" s="164"/>
      <c r="H121" s="164"/>
      <c r="I121" s="164"/>
      <c r="J121" s="118">
        <f>J86+C120-G120</f>
        <v>23731.51</v>
      </c>
    </row>
    <row r="122" spans="1:11" x14ac:dyDescent="0.3">
      <c r="A122" s="142"/>
      <c r="B122" s="122">
        <v>45630</v>
      </c>
      <c r="C122" s="74">
        <v>24</v>
      </c>
      <c r="D122" s="30" t="s">
        <v>148</v>
      </c>
      <c r="E122" s="2" t="s">
        <v>227</v>
      </c>
      <c r="F122" s="122">
        <v>45635</v>
      </c>
      <c r="G122" s="76">
        <v>50</v>
      </c>
      <c r="H122" s="78" t="s">
        <v>247</v>
      </c>
      <c r="I122" t="s">
        <v>232</v>
      </c>
    </row>
    <row r="123" spans="1:11" x14ac:dyDescent="0.3">
      <c r="A123" s="142"/>
      <c r="B123" s="122">
        <v>45635</v>
      </c>
      <c r="C123" s="74">
        <v>36</v>
      </c>
      <c r="D123" s="30" t="s">
        <v>148</v>
      </c>
      <c r="E123" s="2" t="s">
        <v>727</v>
      </c>
      <c r="F123" s="122">
        <v>45635</v>
      </c>
      <c r="G123" s="76">
        <v>96.25</v>
      </c>
      <c r="H123" s="78" t="s">
        <v>247</v>
      </c>
      <c r="I123" t="s">
        <v>230</v>
      </c>
    </row>
    <row r="124" spans="1:11" x14ac:dyDescent="0.3">
      <c r="A124" s="142"/>
      <c r="B124" s="122">
        <v>45635</v>
      </c>
      <c r="C124" s="74">
        <v>24</v>
      </c>
      <c r="D124" s="30" t="s">
        <v>148</v>
      </c>
      <c r="E124" t="s">
        <v>610</v>
      </c>
      <c r="F124" s="122">
        <v>45635</v>
      </c>
      <c r="G124" s="76">
        <v>102.85</v>
      </c>
      <c r="H124" s="78" t="s">
        <v>247</v>
      </c>
      <c r="I124" t="s">
        <v>249</v>
      </c>
      <c r="K124"/>
    </row>
    <row r="125" spans="1:11" x14ac:dyDescent="0.3">
      <c r="A125" s="142"/>
      <c r="B125" s="122">
        <v>45635</v>
      </c>
      <c r="C125" s="74">
        <v>24</v>
      </c>
      <c r="D125" s="3" t="s">
        <v>148</v>
      </c>
      <c r="E125" t="s">
        <v>599</v>
      </c>
      <c r="F125" s="122">
        <v>45635</v>
      </c>
      <c r="G125" s="76">
        <v>50</v>
      </c>
      <c r="H125" s="78" t="s">
        <v>247</v>
      </c>
      <c r="I125" t="s">
        <v>233</v>
      </c>
      <c r="K125"/>
    </row>
    <row r="126" spans="1:11" x14ac:dyDescent="0.3">
      <c r="A126" s="142"/>
      <c r="B126" s="122">
        <v>45635</v>
      </c>
      <c r="C126" s="74">
        <v>24</v>
      </c>
      <c r="D126" s="3" t="s">
        <v>148</v>
      </c>
      <c r="E126" t="s">
        <v>621</v>
      </c>
      <c r="F126" s="122">
        <v>45635</v>
      </c>
      <c r="G126" s="76">
        <v>96.25</v>
      </c>
      <c r="H126" s="78" t="s">
        <v>247</v>
      </c>
      <c r="I126" s="133" t="s">
        <v>235</v>
      </c>
    </row>
    <row r="127" spans="1:11" x14ac:dyDescent="0.3">
      <c r="A127" s="142"/>
      <c r="B127" s="122">
        <v>45635</v>
      </c>
      <c r="C127" s="74">
        <v>24</v>
      </c>
      <c r="D127" s="3" t="s">
        <v>148</v>
      </c>
      <c r="E127" s="2" t="s">
        <v>615</v>
      </c>
      <c r="F127" s="122">
        <v>45635</v>
      </c>
      <c r="G127" s="76">
        <v>96.25</v>
      </c>
      <c r="H127" s="78" t="s">
        <v>247</v>
      </c>
      <c r="I127" s="133" t="s">
        <v>338</v>
      </c>
      <c r="K127"/>
    </row>
    <row r="128" spans="1:11" x14ac:dyDescent="0.3">
      <c r="B128" s="122">
        <v>45636</v>
      </c>
      <c r="C128" s="74">
        <v>24</v>
      </c>
      <c r="D128" s="3" t="s">
        <v>148</v>
      </c>
      <c r="E128" t="s">
        <v>640</v>
      </c>
      <c r="F128" s="122">
        <v>45636</v>
      </c>
      <c r="G128" s="76">
        <v>578.55999999999995</v>
      </c>
      <c r="H128" s="86" t="s">
        <v>247</v>
      </c>
      <c r="I128" t="s">
        <v>281</v>
      </c>
      <c r="K128"/>
    </row>
    <row r="129" spans="2:11" x14ac:dyDescent="0.3">
      <c r="B129" s="122">
        <v>45637</v>
      </c>
      <c r="C129" s="74">
        <v>6</v>
      </c>
      <c r="D129" s="3" t="s">
        <v>148</v>
      </c>
      <c r="E129" s="2" t="s">
        <v>339</v>
      </c>
      <c r="F129" s="122">
        <v>45642</v>
      </c>
      <c r="G129" s="76">
        <v>308</v>
      </c>
      <c r="H129" s="86" t="s">
        <v>247</v>
      </c>
      <c r="I129" t="s">
        <v>236</v>
      </c>
      <c r="K129"/>
    </row>
    <row r="130" spans="2:11" x14ac:dyDescent="0.3">
      <c r="B130" s="122">
        <v>45642</v>
      </c>
      <c r="C130" s="74">
        <v>1233</v>
      </c>
      <c r="D130" s="3" t="s">
        <v>332</v>
      </c>
      <c r="E130" s="2" t="s">
        <v>605</v>
      </c>
      <c r="F130" s="122">
        <v>45642</v>
      </c>
      <c r="G130" s="76">
        <v>308</v>
      </c>
      <c r="H130" s="86" t="s">
        <v>247</v>
      </c>
      <c r="I130" t="s">
        <v>340</v>
      </c>
      <c r="K130"/>
    </row>
    <row r="131" spans="2:11" x14ac:dyDescent="0.3">
      <c r="B131" s="122">
        <v>45642</v>
      </c>
      <c r="C131" s="74">
        <v>24</v>
      </c>
      <c r="D131" s="3" t="s">
        <v>148</v>
      </c>
      <c r="E131" s="2" t="s">
        <v>301</v>
      </c>
      <c r="F131" s="122">
        <v>45642</v>
      </c>
      <c r="G131" s="76">
        <v>308</v>
      </c>
      <c r="H131" s="86" t="s">
        <v>247</v>
      </c>
      <c r="I131" t="s">
        <v>237</v>
      </c>
      <c r="K131"/>
    </row>
    <row r="132" spans="2:11" x14ac:dyDescent="0.3">
      <c r="B132" s="122">
        <v>45642</v>
      </c>
      <c r="C132" s="74">
        <v>24</v>
      </c>
      <c r="D132" s="3" t="s">
        <v>148</v>
      </c>
      <c r="E132" s="2" t="s">
        <v>681</v>
      </c>
      <c r="F132" s="122">
        <v>45642</v>
      </c>
      <c r="G132" s="76">
        <v>308</v>
      </c>
      <c r="H132" s="86" t="s">
        <v>247</v>
      </c>
      <c r="I132" t="s">
        <v>326</v>
      </c>
      <c r="K132"/>
    </row>
    <row r="133" spans="2:11" x14ac:dyDescent="0.3">
      <c r="B133" s="122">
        <v>45642</v>
      </c>
      <c r="C133" s="74">
        <v>24</v>
      </c>
      <c r="D133" s="3" t="s">
        <v>148</v>
      </c>
      <c r="E133" s="2" t="s">
        <v>228</v>
      </c>
      <c r="F133" s="122">
        <v>45642</v>
      </c>
      <c r="G133" s="76">
        <v>193.06</v>
      </c>
      <c r="H133" s="86" t="s">
        <v>247</v>
      </c>
      <c r="I133" t="s">
        <v>660</v>
      </c>
      <c r="K133"/>
    </row>
    <row r="134" spans="2:11" x14ac:dyDescent="0.3">
      <c r="B134" s="122">
        <v>45642</v>
      </c>
      <c r="C134" s="74">
        <v>500</v>
      </c>
      <c r="D134" s="3" t="s">
        <v>148</v>
      </c>
      <c r="E134" s="2" t="s">
        <v>682</v>
      </c>
      <c r="F134" s="122">
        <v>45643</v>
      </c>
      <c r="G134" s="76">
        <v>86</v>
      </c>
      <c r="H134" s="86" t="s">
        <v>247</v>
      </c>
      <c r="I134" t="s">
        <v>661</v>
      </c>
      <c r="K134"/>
    </row>
    <row r="135" spans="2:11" x14ac:dyDescent="0.3">
      <c r="B135" s="122">
        <v>45644</v>
      </c>
      <c r="C135" s="74">
        <v>36</v>
      </c>
      <c r="D135" s="3" t="s">
        <v>250</v>
      </c>
      <c r="E135" s="2" t="s">
        <v>641</v>
      </c>
      <c r="F135" s="122">
        <v>45643</v>
      </c>
      <c r="G135" s="76">
        <v>40</v>
      </c>
      <c r="H135" s="86" t="s">
        <v>247</v>
      </c>
      <c r="I135" t="s">
        <v>662</v>
      </c>
      <c r="K135"/>
    </row>
    <row r="136" spans="2:11" x14ac:dyDescent="0.3">
      <c r="B136" s="122">
        <v>45650</v>
      </c>
      <c r="C136" s="74">
        <v>363.29</v>
      </c>
      <c r="D136" s="30">
        <v>500145</v>
      </c>
      <c r="E136" s="2" t="s">
        <v>341</v>
      </c>
      <c r="F136" s="122">
        <v>45643</v>
      </c>
      <c r="G136" s="76">
        <v>60</v>
      </c>
      <c r="H136" s="86" t="s">
        <v>247</v>
      </c>
      <c r="I136" t="s">
        <v>663</v>
      </c>
      <c r="K136"/>
    </row>
    <row r="137" spans="2:11" x14ac:dyDescent="0.3">
      <c r="B137" s="122">
        <v>45650</v>
      </c>
      <c r="C137" s="74">
        <v>407.89</v>
      </c>
      <c r="D137" s="30">
        <v>500146</v>
      </c>
      <c r="E137" s="2" t="s">
        <v>342</v>
      </c>
      <c r="F137" s="122">
        <v>45643</v>
      </c>
      <c r="G137" s="76">
        <v>120</v>
      </c>
      <c r="H137" s="86" t="s">
        <v>247</v>
      </c>
      <c r="I137" t="s">
        <v>664</v>
      </c>
      <c r="K137"/>
    </row>
    <row r="138" spans="2:11" x14ac:dyDescent="0.3">
      <c r="B138" s="122">
        <v>45650</v>
      </c>
      <c r="C138" s="74">
        <v>420.72</v>
      </c>
      <c r="D138" s="30">
        <v>500147</v>
      </c>
      <c r="E138" s="2" t="s">
        <v>343</v>
      </c>
      <c r="F138" s="122">
        <v>45643</v>
      </c>
      <c r="G138" s="76">
        <v>40</v>
      </c>
      <c r="H138" s="86" t="s">
        <v>247</v>
      </c>
      <c r="I138" t="s">
        <v>665</v>
      </c>
      <c r="K138"/>
    </row>
    <row r="139" spans="2:11" x14ac:dyDescent="0.3">
      <c r="B139" s="122">
        <v>45650</v>
      </c>
      <c r="C139" s="74">
        <v>96</v>
      </c>
      <c r="D139" s="30">
        <v>500148</v>
      </c>
      <c r="E139" s="2" t="s">
        <v>344</v>
      </c>
      <c r="F139" s="122">
        <v>45643</v>
      </c>
      <c r="G139" s="76">
        <v>48</v>
      </c>
      <c r="H139" s="86" t="s">
        <v>247</v>
      </c>
      <c r="I139" t="s">
        <v>666</v>
      </c>
    </row>
    <row r="140" spans="2:11" x14ac:dyDescent="0.3">
      <c r="B140" s="122">
        <v>45650</v>
      </c>
      <c r="C140" s="74">
        <v>28.91</v>
      </c>
      <c r="D140" s="30">
        <v>500149</v>
      </c>
      <c r="E140" s="2" t="s">
        <v>683</v>
      </c>
      <c r="F140" s="122">
        <v>45643</v>
      </c>
      <c r="G140" s="76">
        <v>80</v>
      </c>
      <c r="H140" s="86" t="s">
        <v>247</v>
      </c>
      <c r="I140" t="s">
        <v>667</v>
      </c>
    </row>
    <row r="141" spans="2:11" x14ac:dyDescent="0.3">
      <c r="C141" s="74"/>
      <c r="E141" s="2"/>
      <c r="F141" s="122">
        <v>45643</v>
      </c>
      <c r="G141" s="76">
        <v>60</v>
      </c>
      <c r="H141" s="86" t="s">
        <v>247</v>
      </c>
      <c r="I141" t="s">
        <v>668</v>
      </c>
    </row>
    <row r="142" spans="2:11" x14ac:dyDescent="0.3">
      <c r="C142" s="74"/>
      <c r="D142" s="3"/>
      <c r="E142" s="2"/>
      <c r="F142" s="122">
        <v>45643</v>
      </c>
      <c r="G142" s="76">
        <v>80</v>
      </c>
      <c r="H142" s="86" t="s">
        <v>247</v>
      </c>
      <c r="I142" t="s">
        <v>669</v>
      </c>
    </row>
    <row r="143" spans="2:11" x14ac:dyDescent="0.3">
      <c r="C143" s="74"/>
      <c r="D143" s="3"/>
      <c r="E143" s="2"/>
      <c r="F143" s="122">
        <v>45643</v>
      </c>
      <c r="G143" s="76">
        <v>80</v>
      </c>
      <c r="H143" s="86" t="s">
        <v>247</v>
      </c>
      <c r="I143" t="s">
        <v>670</v>
      </c>
    </row>
    <row r="144" spans="2:11" x14ac:dyDescent="0.3">
      <c r="C144" s="74"/>
      <c r="D144" s="3"/>
      <c r="E144" s="2"/>
      <c r="F144" s="122">
        <v>45643</v>
      </c>
      <c r="G144" s="76">
        <v>40</v>
      </c>
      <c r="H144" s="86" t="s">
        <v>247</v>
      </c>
      <c r="I144" t="s">
        <v>671</v>
      </c>
    </row>
    <row r="145" spans="1:11" x14ac:dyDescent="0.3">
      <c r="C145" s="74"/>
      <c r="D145" s="3"/>
      <c r="E145" s="2"/>
      <c r="F145" s="122">
        <v>45643</v>
      </c>
      <c r="G145" s="76">
        <v>40</v>
      </c>
      <c r="H145" s="86" t="s">
        <v>247</v>
      </c>
      <c r="I145" t="s">
        <v>672</v>
      </c>
    </row>
    <row r="146" spans="1:11" x14ac:dyDescent="0.3">
      <c r="C146" s="74"/>
      <c r="D146" s="3"/>
      <c r="E146" s="2"/>
      <c r="F146" s="122">
        <v>45643</v>
      </c>
      <c r="G146" s="76">
        <v>60</v>
      </c>
      <c r="H146" s="86" t="s">
        <v>247</v>
      </c>
      <c r="I146" t="s">
        <v>673</v>
      </c>
    </row>
    <row r="147" spans="1:11" x14ac:dyDescent="0.3">
      <c r="C147" s="74"/>
      <c r="D147" s="3"/>
      <c r="E147" s="2"/>
      <c r="F147" s="122">
        <v>45643</v>
      </c>
      <c r="G147" s="76">
        <v>40</v>
      </c>
      <c r="H147" s="86" t="s">
        <v>247</v>
      </c>
      <c r="I147" t="s">
        <v>674</v>
      </c>
    </row>
    <row r="148" spans="1:11" x14ac:dyDescent="0.3">
      <c r="C148" s="74"/>
      <c r="D148" s="3"/>
      <c r="E148" s="2"/>
      <c r="F148" s="122">
        <v>45643</v>
      </c>
      <c r="G148" s="76">
        <v>80</v>
      </c>
      <c r="H148" s="86" t="s">
        <v>247</v>
      </c>
      <c r="I148" t="s">
        <v>675</v>
      </c>
    </row>
    <row r="149" spans="1:11" x14ac:dyDescent="0.3">
      <c r="C149" s="74"/>
      <c r="D149" s="3"/>
      <c r="E149" s="2"/>
      <c r="F149" s="122">
        <v>45643</v>
      </c>
      <c r="G149" s="76">
        <v>60</v>
      </c>
      <c r="H149" s="86" t="s">
        <v>247</v>
      </c>
      <c r="I149" t="s">
        <v>676</v>
      </c>
    </row>
    <row r="150" spans="1:11" x14ac:dyDescent="0.3">
      <c r="C150" s="74"/>
      <c r="D150" s="3"/>
      <c r="E150" s="2"/>
      <c r="F150" s="122">
        <v>45643</v>
      </c>
      <c r="G150" s="76">
        <v>63</v>
      </c>
      <c r="H150" s="86" t="s">
        <v>247</v>
      </c>
      <c r="I150" t="s">
        <v>677</v>
      </c>
    </row>
    <row r="151" spans="1:11" x14ac:dyDescent="0.3">
      <c r="C151" s="74"/>
      <c r="D151" s="3"/>
      <c r="E151" s="2"/>
      <c r="F151" s="122">
        <v>45643</v>
      </c>
      <c r="G151" s="76">
        <v>60</v>
      </c>
      <c r="H151" s="86" t="s">
        <v>247</v>
      </c>
      <c r="I151" t="s">
        <v>678</v>
      </c>
    </row>
    <row r="152" spans="1:11" x14ac:dyDescent="0.3">
      <c r="C152" s="74"/>
      <c r="D152" s="3"/>
      <c r="E152" s="2"/>
      <c r="F152" s="122">
        <v>45643</v>
      </c>
      <c r="G152" s="76">
        <v>40</v>
      </c>
      <c r="H152" s="86" t="s">
        <v>247</v>
      </c>
      <c r="I152" t="s">
        <v>679</v>
      </c>
      <c r="K152"/>
    </row>
    <row r="153" spans="1:11" x14ac:dyDescent="0.3">
      <c r="C153" s="74"/>
      <c r="D153" s="3"/>
      <c r="E153" s="2"/>
      <c r="F153" s="122">
        <v>45643</v>
      </c>
      <c r="G153" s="76">
        <v>56</v>
      </c>
      <c r="H153" s="86" t="s">
        <v>247</v>
      </c>
      <c r="I153" t="s">
        <v>680</v>
      </c>
    </row>
    <row r="154" spans="1:11" x14ac:dyDescent="0.3">
      <c r="C154" s="74"/>
      <c r="D154" s="3"/>
      <c r="E154" s="2"/>
      <c r="F154" s="122"/>
      <c r="G154" s="76"/>
      <c r="H154" s="78"/>
      <c r="I154" s="147"/>
    </row>
    <row r="155" spans="1:11" x14ac:dyDescent="0.3">
      <c r="C155" s="120">
        <f>SUM(C122:C153)</f>
        <v>3343.8099999999995</v>
      </c>
      <c r="D155" s="3"/>
      <c r="E155" s="2"/>
      <c r="F155" s="77"/>
      <c r="G155" s="75">
        <f>SUM(G122:G153)</f>
        <v>3728.22</v>
      </c>
      <c r="H155" s="78"/>
    </row>
    <row r="156" spans="1:11" x14ac:dyDescent="0.3">
      <c r="B156" s="162">
        <v>45658</v>
      </c>
      <c r="C156" s="163"/>
      <c r="D156" s="163"/>
      <c r="E156" s="163"/>
      <c r="F156" s="164">
        <v>45658</v>
      </c>
      <c r="G156" s="164"/>
      <c r="H156" s="164"/>
      <c r="I156" s="164"/>
      <c r="J156" s="118">
        <f>J121+C155-G155</f>
        <v>23347.1</v>
      </c>
    </row>
    <row r="157" spans="1:11" x14ac:dyDescent="0.3">
      <c r="A157" s="143"/>
      <c r="B157" s="122">
        <v>45660</v>
      </c>
      <c r="C157" s="74">
        <v>36</v>
      </c>
      <c r="D157" s="3" t="s">
        <v>148</v>
      </c>
      <c r="E157" s="2" t="s">
        <v>298</v>
      </c>
      <c r="F157" s="77">
        <v>45666</v>
      </c>
      <c r="G157" s="76">
        <v>150</v>
      </c>
      <c r="H157" s="78" t="s">
        <v>247</v>
      </c>
      <c r="I157" s="2" t="s">
        <v>282</v>
      </c>
    </row>
    <row r="158" spans="1:11" x14ac:dyDescent="0.3">
      <c r="A158" s="144"/>
      <c r="B158" s="122">
        <v>45660</v>
      </c>
      <c r="C158" s="74">
        <v>36</v>
      </c>
      <c r="D158" s="3" t="s">
        <v>148</v>
      </c>
      <c r="E158" s="2" t="s">
        <v>684</v>
      </c>
      <c r="F158" s="77">
        <v>45678</v>
      </c>
      <c r="G158" s="76">
        <v>96.25</v>
      </c>
      <c r="H158" s="78" t="s">
        <v>247</v>
      </c>
      <c r="I158" t="s">
        <v>234</v>
      </c>
    </row>
    <row r="159" spans="1:11" x14ac:dyDescent="0.3">
      <c r="A159" s="144"/>
      <c r="B159" s="122">
        <v>45660</v>
      </c>
      <c r="C159" s="74">
        <v>36</v>
      </c>
      <c r="D159" s="30" t="s">
        <v>148</v>
      </c>
      <c r="E159" s="2" t="s">
        <v>248</v>
      </c>
      <c r="F159" s="77">
        <v>45678</v>
      </c>
      <c r="G159" s="76">
        <v>96.25</v>
      </c>
      <c r="H159" s="78" t="s">
        <v>247</v>
      </c>
      <c r="I159" t="s">
        <v>230</v>
      </c>
    </row>
    <row r="160" spans="1:11" x14ac:dyDescent="0.3">
      <c r="A160" s="144"/>
      <c r="B160" s="122">
        <v>45660</v>
      </c>
      <c r="C160" s="74">
        <v>54</v>
      </c>
      <c r="D160" s="3" t="s">
        <v>148</v>
      </c>
      <c r="E160" s="2" t="s">
        <v>728</v>
      </c>
      <c r="F160" s="77">
        <v>45678</v>
      </c>
      <c r="G160" s="76">
        <v>102.85</v>
      </c>
      <c r="H160" s="78" t="s">
        <v>247</v>
      </c>
      <c r="I160" t="s">
        <v>249</v>
      </c>
    </row>
    <row r="161" spans="1:9" x14ac:dyDescent="0.3">
      <c r="A161" s="144"/>
      <c r="B161" s="122">
        <v>45660</v>
      </c>
      <c r="C161" s="74">
        <v>36</v>
      </c>
      <c r="D161" s="30" t="s">
        <v>148</v>
      </c>
      <c r="E161" t="s">
        <v>314</v>
      </c>
      <c r="F161" s="77">
        <v>45678</v>
      </c>
      <c r="G161" s="76">
        <v>96.25</v>
      </c>
      <c r="H161" s="78" t="s">
        <v>247</v>
      </c>
      <c r="I161" s="133" t="s">
        <v>235</v>
      </c>
    </row>
    <row r="162" spans="1:9" x14ac:dyDescent="0.3">
      <c r="A162" s="144"/>
      <c r="B162" s="122">
        <v>45660</v>
      </c>
      <c r="C162" s="74">
        <v>36</v>
      </c>
      <c r="D162" s="30" t="s">
        <v>148</v>
      </c>
      <c r="E162" s="2" t="s">
        <v>246</v>
      </c>
      <c r="F162" s="77">
        <v>45678</v>
      </c>
      <c r="G162" s="76">
        <v>50</v>
      </c>
      <c r="H162" s="78" t="s">
        <v>247</v>
      </c>
      <c r="I162" t="s">
        <v>232</v>
      </c>
    </row>
    <row r="163" spans="1:9" x14ac:dyDescent="0.3">
      <c r="A163" s="144"/>
      <c r="B163" s="122">
        <v>45660</v>
      </c>
      <c r="C163" s="74">
        <v>36</v>
      </c>
      <c r="D163" s="3" t="s">
        <v>148</v>
      </c>
      <c r="E163" s="2" t="s">
        <v>630</v>
      </c>
      <c r="F163" s="77">
        <v>45678</v>
      </c>
      <c r="G163" s="76">
        <v>50</v>
      </c>
      <c r="H163" s="78" t="s">
        <v>247</v>
      </c>
      <c r="I163" t="s">
        <v>233</v>
      </c>
    </row>
    <row r="164" spans="1:9" x14ac:dyDescent="0.3">
      <c r="A164" s="144"/>
      <c r="B164" s="122">
        <v>45660</v>
      </c>
      <c r="C164" s="74">
        <v>54</v>
      </c>
      <c r="D164" s="3" t="s">
        <v>148</v>
      </c>
      <c r="E164" s="2" t="s">
        <v>620</v>
      </c>
      <c r="F164" s="77"/>
      <c r="G164" s="76"/>
      <c r="H164" s="78"/>
    </row>
    <row r="165" spans="1:9" x14ac:dyDescent="0.3">
      <c r="A165" s="144"/>
      <c r="B165" s="122">
        <v>45663</v>
      </c>
      <c r="C165" s="74">
        <v>36</v>
      </c>
      <c r="D165" s="3" t="s">
        <v>148</v>
      </c>
      <c r="E165" s="2" t="s">
        <v>614</v>
      </c>
      <c r="F165" s="77"/>
      <c r="G165" s="76"/>
      <c r="H165" s="78"/>
    </row>
    <row r="166" spans="1:9" x14ac:dyDescent="0.3">
      <c r="A166" s="144"/>
      <c r="B166" s="122">
        <v>45663</v>
      </c>
      <c r="C166" s="74">
        <v>36</v>
      </c>
      <c r="D166" s="3" t="s">
        <v>148</v>
      </c>
      <c r="E166" t="s">
        <v>598</v>
      </c>
      <c r="F166" s="77"/>
      <c r="G166" s="76"/>
      <c r="H166" s="78"/>
    </row>
    <row r="167" spans="1:9" x14ac:dyDescent="0.3">
      <c r="A167" s="144"/>
      <c r="B167" s="122">
        <v>45663</v>
      </c>
      <c r="C167" s="74">
        <v>54</v>
      </c>
      <c r="D167" s="3" t="s">
        <v>148</v>
      </c>
      <c r="E167" s="2" t="s">
        <v>717</v>
      </c>
      <c r="F167" s="77"/>
      <c r="G167" s="76"/>
      <c r="H167" s="78"/>
    </row>
    <row r="168" spans="1:9" x14ac:dyDescent="0.3">
      <c r="A168" s="144"/>
      <c r="B168" s="122">
        <v>45663</v>
      </c>
      <c r="C168" s="74">
        <v>54</v>
      </c>
      <c r="D168" s="3" t="s">
        <v>148</v>
      </c>
      <c r="E168" t="s">
        <v>730</v>
      </c>
      <c r="F168" s="77"/>
      <c r="G168" s="76"/>
      <c r="H168" s="78"/>
    </row>
    <row r="169" spans="1:9" x14ac:dyDescent="0.3">
      <c r="A169" s="144"/>
      <c r="B169" s="122">
        <v>45663</v>
      </c>
      <c r="C169" s="74">
        <v>54</v>
      </c>
      <c r="D169" s="3" t="s">
        <v>148</v>
      </c>
      <c r="E169" t="s">
        <v>729</v>
      </c>
      <c r="F169" s="77"/>
      <c r="G169" s="76"/>
      <c r="H169" s="78"/>
    </row>
    <row r="170" spans="1:9" x14ac:dyDescent="0.3">
      <c r="A170" s="144"/>
      <c r="B170" s="122">
        <v>45663</v>
      </c>
      <c r="C170" s="74">
        <v>36</v>
      </c>
      <c r="D170" s="3" t="s">
        <v>148</v>
      </c>
      <c r="E170" s="2" t="s">
        <v>308</v>
      </c>
      <c r="F170" s="77"/>
      <c r="G170" s="76"/>
      <c r="H170" s="78"/>
    </row>
    <row r="171" spans="1:9" x14ac:dyDescent="0.3">
      <c r="A171" s="144"/>
      <c r="B171" s="122">
        <v>45663</v>
      </c>
      <c r="C171" s="74">
        <v>54</v>
      </c>
      <c r="D171" s="3" t="s">
        <v>148</v>
      </c>
      <c r="E171" s="2" t="s">
        <v>297</v>
      </c>
      <c r="F171" s="77"/>
      <c r="G171" s="76"/>
      <c r="H171" s="78"/>
    </row>
    <row r="172" spans="1:9" x14ac:dyDescent="0.3">
      <c r="A172" s="144"/>
      <c r="B172" s="122">
        <v>45663</v>
      </c>
      <c r="C172" s="74">
        <v>54</v>
      </c>
      <c r="D172" s="3" t="s">
        <v>148</v>
      </c>
      <c r="E172" s="2" t="s">
        <v>725</v>
      </c>
    </row>
    <row r="173" spans="1:9" x14ac:dyDescent="0.3">
      <c r="A173" s="144"/>
      <c r="B173" s="122">
        <v>45663</v>
      </c>
      <c r="C173" s="74">
        <v>36</v>
      </c>
      <c r="D173" s="3" t="s">
        <v>148</v>
      </c>
      <c r="E173" s="2" t="s">
        <v>225</v>
      </c>
      <c r="F173" s="122"/>
      <c r="G173" s="76"/>
      <c r="H173" s="78"/>
    </row>
    <row r="174" spans="1:9" x14ac:dyDescent="0.3">
      <c r="A174" s="144"/>
      <c r="B174" s="122">
        <v>45663</v>
      </c>
      <c r="C174" s="74">
        <v>54</v>
      </c>
      <c r="D174" s="3" t="s">
        <v>148</v>
      </c>
      <c r="E174" s="2" t="s">
        <v>722</v>
      </c>
      <c r="F174" s="122"/>
      <c r="G174" s="76"/>
      <c r="H174" s="78"/>
    </row>
    <row r="175" spans="1:9" x14ac:dyDescent="0.3">
      <c r="A175" s="144"/>
      <c r="B175" s="122">
        <v>45663</v>
      </c>
      <c r="C175" s="74">
        <v>24</v>
      </c>
      <c r="D175" s="3" t="s">
        <v>148</v>
      </c>
      <c r="E175" t="s">
        <v>248</v>
      </c>
      <c r="F175" s="122"/>
      <c r="G175" s="76"/>
      <c r="H175" s="78"/>
    </row>
    <row r="176" spans="1:9" x14ac:dyDescent="0.3">
      <c r="A176" s="144"/>
      <c r="B176" s="122">
        <v>45664</v>
      </c>
      <c r="C176" s="74">
        <v>36</v>
      </c>
      <c r="D176" s="3" t="s">
        <v>148</v>
      </c>
      <c r="E176" s="2" t="s">
        <v>606</v>
      </c>
      <c r="F176" s="122"/>
      <c r="G176" s="76"/>
      <c r="H176" s="78"/>
    </row>
    <row r="177" spans="1:8" x14ac:dyDescent="0.3">
      <c r="A177" s="144"/>
      <c r="B177" s="122">
        <v>45666</v>
      </c>
      <c r="C177" s="74">
        <v>54</v>
      </c>
      <c r="D177" s="3" t="s">
        <v>148</v>
      </c>
      <c r="E177" s="2" t="s">
        <v>600</v>
      </c>
      <c r="F177" s="122"/>
      <c r="G177" s="76"/>
      <c r="H177" s="78"/>
    </row>
    <row r="178" spans="1:8" x14ac:dyDescent="0.3">
      <c r="A178" s="144"/>
      <c r="B178" s="122">
        <v>45670</v>
      </c>
      <c r="C178" s="74">
        <v>54</v>
      </c>
      <c r="D178" s="3" t="s">
        <v>148</v>
      </c>
      <c r="E178" t="s">
        <v>731</v>
      </c>
      <c r="F178" s="122"/>
      <c r="G178" s="76"/>
      <c r="H178" s="78"/>
    </row>
    <row r="179" spans="1:8" x14ac:dyDescent="0.3">
      <c r="A179" s="144"/>
      <c r="B179" s="122">
        <v>45670</v>
      </c>
      <c r="C179" s="74">
        <v>36</v>
      </c>
      <c r="D179" s="3" t="s">
        <v>148</v>
      </c>
      <c r="E179" s="2" t="s">
        <v>619</v>
      </c>
      <c r="F179" s="77"/>
      <c r="G179" s="76"/>
      <c r="H179" s="78"/>
    </row>
    <row r="180" spans="1:8" x14ac:dyDescent="0.3">
      <c r="A180" s="144"/>
      <c r="B180" s="122">
        <v>45670</v>
      </c>
      <c r="C180" s="74">
        <v>36</v>
      </c>
      <c r="D180" s="3" t="s">
        <v>148</v>
      </c>
      <c r="E180" t="s">
        <v>609</v>
      </c>
      <c r="F180" s="77"/>
      <c r="G180" s="76"/>
      <c r="H180" s="78"/>
    </row>
    <row r="181" spans="1:8" x14ac:dyDescent="0.3">
      <c r="A181" s="144"/>
      <c r="B181" s="122">
        <v>45670</v>
      </c>
      <c r="C181" s="74">
        <v>16.5</v>
      </c>
      <c r="D181" s="3" t="s">
        <v>148</v>
      </c>
      <c r="E181" t="s">
        <v>706</v>
      </c>
      <c r="F181" s="77"/>
      <c r="G181" s="76"/>
      <c r="H181" s="78"/>
    </row>
    <row r="182" spans="1:8" x14ac:dyDescent="0.3">
      <c r="A182" s="144"/>
      <c r="B182" s="122">
        <v>45670</v>
      </c>
      <c r="C182" s="74">
        <v>54</v>
      </c>
      <c r="D182" s="3" t="s">
        <v>148</v>
      </c>
      <c r="E182" s="2" t="s">
        <v>299</v>
      </c>
      <c r="F182" s="77"/>
      <c r="G182" s="76"/>
      <c r="H182" s="78"/>
    </row>
    <row r="183" spans="1:8" x14ac:dyDescent="0.3">
      <c r="A183" s="144"/>
      <c r="B183" s="122">
        <v>45670</v>
      </c>
      <c r="C183" s="74">
        <v>33</v>
      </c>
      <c r="D183" s="3" t="s">
        <v>148</v>
      </c>
      <c r="E183" t="s">
        <v>346</v>
      </c>
      <c r="F183" s="77"/>
      <c r="G183" s="76"/>
      <c r="H183" s="78"/>
    </row>
    <row r="184" spans="1:8" x14ac:dyDescent="0.3">
      <c r="A184" s="144"/>
      <c r="B184" s="122">
        <v>45670</v>
      </c>
      <c r="C184" s="74">
        <v>54</v>
      </c>
      <c r="D184" s="3" t="s">
        <v>148</v>
      </c>
      <c r="E184" s="2" t="s">
        <v>345</v>
      </c>
      <c r="F184" s="77"/>
      <c r="G184" s="76"/>
      <c r="H184" s="78"/>
    </row>
    <row r="185" spans="1:8" x14ac:dyDescent="0.3">
      <c r="A185" s="144"/>
      <c r="B185" s="122">
        <v>45670</v>
      </c>
      <c r="C185" s="74">
        <v>36</v>
      </c>
      <c r="D185" s="3" t="s">
        <v>148</v>
      </c>
      <c r="E185" t="s">
        <v>732</v>
      </c>
      <c r="F185" s="77"/>
      <c r="G185" s="76"/>
      <c r="H185" s="78"/>
    </row>
    <row r="186" spans="1:8" x14ac:dyDescent="0.3">
      <c r="A186" s="144"/>
      <c r="B186" s="122">
        <v>45677</v>
      </c>
      <c r="C186" s="74">
        <v>54</v>
      </c>
      <c r="D186" s="3" t="s">
        <v>148</v>
      </c>
      <c r="E186" s="2" t="s">
        <v>618</v>
      </c>
      <c r="F186" s="77"/>
      <c r="G186" s="76"/>
      <c r="H186" s="78"/>
    </row>
    <row r="187" spans="1:8" x14ac:dyDescent="0.3">
      <c r="A187" s="144"/>
      <c r="B187" s="122">
        <v>45677</v>
      </c>
      <c r="C187" s="74">
        <v>30</v>
      </c>
      <c r="D187" s="3" t="s">
        <v>148</v>
      </c>
      <c r="E187" t="s">
        <v>648</v>
      </c>
      <c r="F187" s="77"/>
      <c r="G187" s="76"/>
      <c r="H187" s="78"/>
    </row>
    <row r="188" spans="1:8" x14ac:dyDescent="0.3">
      <c r="A188" s="144"/>
      <c r="B188" s="122">
        <v>45677</v>
      </c>
      <c r="C188" s="74">
        <v>24</v>
      </c>
      <c r="D188" s="3" t="s">
        <v>148</v>
      </c>
      <c r="E188" t="s">
        <v>347</v>
      </c>
      <c r="F188" s="77"/>
      <c r="G188" s="76"/>
      <c r="H188" s="78"/>
    </row>
    <row r="189" spans="1:8" x14ac:dyDescent="0.3">
      <c r="A189" s="144"/>
      <c r="B189" s="122">
        <v>45677</v>
      </c>
      <c r="C189" s="74">
        <v>72</v>
      </c>
      <c r="D189" s="3" t="s">
        <v>148</v>
      </c>
      <c r="E189" s="2" t="s">
        <v>310</v>
      </c>
      <c r="F189" s="77"/>
      <c r="G189" s="76"/>
      <c r="H189" s="78"/>
    </row>
    <row r="190" spans="1:8" x14ac:dyDescent="0.3">
      <c r="A190" s="144"/>
      <c r="B190" s="122">
        <v>45681</v>
      </c>
      <c r="C190" s="74">
        <v>36</v>
      </c>
      <c r="D190" s="3" t="s">
        <v>148</v>
      </c>
      <c r="E190" s="2" t="s">
        <v>647</v>
      </c>
      <c r="F190" s="77"/>
      <c r="G190" s="76"/>
      <c r="H190" s="78"/>
    </row>
    <row r="191" spans="1:8" x14ac:dyDescent="0.3">
      <c r="A191" s="144"/>
      <c r="B191" s="122">
        <v>45684</v>
      </c>
      <c r="C191" s="74">
        <v>36</v>
      </c>
      <c r="D191" s="3" t="s">
        <v>148</v>
      </c>
      <c r="E191" s="2" t="s">
        <v>328</v>
      </c>
      <c r="F191" s="77"/>
      <c r="G191" s="76"/>
      <c r="H191" s="78"/>
    </row>
    <row r="192" spans="1:8" x14ac:dyDescent="0.3">
      <c r="A192" s="144"/>
      <c r="B192" s="122">
        <v>45684</v>
      </c>
      <c r="C192" s="74">
        <v>30</v>
      </c>
      <c r="D192" s="3" t="s">
        <v>148</v>
      </c>
      <c r="E192" t="s">
        <v>638</v>
      </c>
      <c r="F192" s="77"/>
      <c r="G192" s="76"/>
      <c r="H192" s="78"/>
    </row>
    <row r="193" spans="1:10" x14ac:dyDescent="0.3">
      <c r="A193" s="144"/>
      <c r="B193" s="122">
        <v>45684</v>
      </c>
      <c r="C193" s="74">
        <v>36</v>
      </c>
      <c r="D193" s="3" t="s">
        <v>148</v>
      </c>
      <c r="E193" s="2" t="s">
        <v>613</v>
      </c>
      <c r="F193" s="77"/>
      <c r="G193" s="76"/>
      <c r="H193" s="78"/>
    </row>
    <row r="194" spans="1:10" x14ac:dyDescent="0.3">
      <c r="A194" s="144"/>
      <c r="B194" s="122">
        <v>45686</v>
      </c>
      <c r="C194" s="74">
        <v>36</v>
      </c>
      <c r="D194" s="3" t="s">
        <v>148</v>
      </c>
      <c r="E194" t="s">
        <v>599</v>
      </c>
      <c r="F194" s="77"/>
      <c r="G194" s="76"/>
      <c r="H194" s="78"/>
    </row>
    <row r="195" spans="1:10" x14ac:dyDescent="0.3">
      <c r="A195" s="144"/>
      <c r="B195" s="122">
        <v>45688</v>
      </c>
      <c r="C195" s="74">
        <v>36</v>
      </c>
      <c r="D195" s="3" t="s">
        <v>148</v>
      </c>
      <c r="E195" t="s">
        <v>632</v>
      </c>
      <c r="F195" s="77"/>
      <c r="G195" s="76"/>
      <c r="H195" s="78"/>
      <c r="I195" s="2"/>
    </row>
    <row r="196" spans="1:10" x14ac:dyDescent="0.3">
      <c r="A196" s="144"/>
      <c r="C196" s="74"/>
      <c r="D196" s="3"/>
      <c r="F196" s="77"/>
      <c r="G196" s="76"/>
      <c r="H196" s="78"/>
    </row>
    <row r="197" spans="1:10" x14ac:dyDescent="0.3">
      <c r="A197" s="144"/>
      <c r="C197" s="74"/>
      <c r="D197" s="3"/>
      <c r="E197" s="2"/>
      <c r="F197" s="77"/>
      <c r="G197" s="76"/>
      <c r="H197" s="78"/>
    </row>
    <row r="198" spans="1:10" x14ac:dyDescent="0.3">
      <c r="C198" s="120">
        <f>SUM(C157:C197)</f>
        <v>1615.5</v>
      </c>
      <c r="D198" s="3"/>
      <c r="E198" s="2"/>
      <c r="F198" s="77"/>
      <c r="G198" s="120">
        <f>SUM(G157:G197)</f>
        <v>641.6</v>
      </c>
      <c r="H198" s="78"/>
    </row>
    <row r="199" spans="1:10" x14ac:dyDescent="0.3">
      <c r="B199" s="162">
        <v>45689</v>
      </c>
      <c r="C199" s="162"/>
      <c r="D199" s="162"/>
      <c r="E199" s="162"/>
      <c r="F199" s="164">
        <v>45689</v>
      </c>
      <c r="G199" s="164"/>
      <c r="H199" s="164"/>
      <c r="I199" s="164"/>
      <c r="J199" s="118">
        <f>J156+C198-G198</f>
        <v>24321</v>
      </c>
    </row>
    <row r="200" spans="1:10" x14ac:dyDescent="0.3">
      <c r="A200" s="144"/>
      <c r="B200" s="122">
        <v>45691</v>
      </c>
      <c r="C200" s="74">
        <v>36</v>
      </c>
      <c r="D200" s="3" t="s">
        <v>148</v>
      </c>
      <c r="E200" t="s">
        <v>708</v>
      </c>
      <c r="F200" s="77">
        <v>45701</v>
      </c>
      <c r="G200" s="76">
        <v>125.75</v>
      </c>
      <c r="H200" s="78" t="s">
        <v>247</v>
      </c>
      <c r="I200" t="s">
        <v>649</v>
      </c>
    </row>
    <row r="201" spans="1:10" x14ac:dyDescent="0.3">
      <c r="A201" s="144"/>
      <c r="B201" s="122">
        <v>45691</v>
      </c>
      <c r="C201" s="74">
        <v>36</v>
      </c>
      <c r="D201" s="3" t="s">
        <v>148</v>
      </c>
      <c r="E201" t="s">
        <v>300</v>
      </c>
      <c r="F201" s="77">
        <v>45701</v>
      </c>
      <c r="G201" s="76">
        <v>130</v>
      </c>
      <c r="H201" s="78" t="s">
        <v>247</v>
      </c>
      <c r="I201" t="s">
        <v>650</v>
      </c>
    </row>
    <row r="202" spans="1:10" x14ac:dyDescent="0.3">
      <c r="A202" s="144"/>
      <c r="B202" s="122">
        <v>45691</v>
      </c>
      <c r="C202" s="74">
        <v>36</v>
      </c>
      <c r="D202" s="3" t="s">
        <v>148</v>
      </c>
      <c r="E202" t="s">
        <v>608</v>
      </c>
      <c r="F202" s="77"/>
      <c r="G202" s="76"/>
      <c r="H202" s="78"/>
    </row>
    <row r="203" spans="1:10" x14ac:dyDescent="0.3">
      <c r="A203" s="144"/>
      <c r="B203" s="122">
        <v>45691</v>
      </c>
      <c r="C203" s="74">
        <v>36</v>
      </c>
      <c r="D203" s="3" t="s">
        <v>148</v>
      </c>
      <c r="E203" t="s">
        <v>227</v>
      </c>
      <c r="F203" s="77"/>
      <c r="G203" s="76"/>
      <c r="H203" s="78"/>
    </row>
    <row r="204" spans="1:10" x14ac:dyDescent="0.3">
      <c r="A204" s="144"/>
      <c r="B204" s="122">
        <v>45691</v>
      </c>
      <c r="C204" s="74">
        <v>36</v>
      </c>
      <c r="D204" s="3" t="s">
        <v>148</v>
      </c>
      <c r="E204" t="s">
        <v>245</v>
      </c>
      <c r="F204" s="77"/>
      <c r="G204" s="76"/>
      <c r="H204" s="78"/>
    </row>
    <row r="205" spans="1:10" x14ac:dyDescent="0.3">
      <c r="A205" s="144"/>
      <c r="B205" s="122">
        <v>45691</v>
      </c>
      <c r="C205" s="74">
        <v>36</v>
      </c>
      <c r="D205" s="3" t="s">
        <v>148</v>
      </c>
      <c r="E205" t="s">
        <v>322</v>
      </c>
      <c r="F205" s="77"/>
      <c r="G205" s="76"/>
      <c r="H205" s="78"/>
    </row>
    <row r="206" spans="1:10" x14ac:dyDescent="0.3">
      <c r="A206" s="144"/>
      <c r="B206" s="122">
        <v>45691</v>
      </c>
      <c r="C206" s="74">
        <v>36</v>
      </c>
      <c r="D206" s="3" t="s">
        <v>148</v>
      </c>
      <c r="E206" s="2" t="s">
        <v>607</v>
      </c>
      <c r="F206" s="77"/>
      <c r="G206" s="76"/>
      <c r="H206" s="78"/>
    </row>
    <row r="207" spans="1:10" x14ac:dyDescent="0.3">
      <c r="A207" s="144"/>
      <c r="B207" s="122">
        <v>45691</v>
      </c>
      <c r="C207" s="74">
        <v>36</v>
      </c>
      <c r="D207" s="3" t="s">
        <v>148</v>
      </c>
      <c r="E207" t="s">
        <v>621</v>
      </c>
      <c r="F207" s="77"/>
      <c r="G207" s="76"/>
      <c r="H207" s="78"/>
    </row>
    <row r="208" spans="1:10" x14ac:dyDescent="0.3">
      <c r="A208" s="144"/>
      <c r="B208" s="122">
        <v>45691</v>
      </c>
      <c r="C208" s="74">
        <v>24</v>
      </c>
      <c r="D208" s="3" t="s">
        <v>148</v>
      </c>
      <c r="E208" t="s">
        <v>604</v>
      </c>
      <c r="F208" s="77"/>
      <c r="G208" s="76"/>
      <c r="H208" s="78"/>
    </row>
    <row r="209" spans="1:8" x14ac:dyDescent="0.3">
      <c r="A209" s="144"/>
      <c r="B209" s="122">
        <v>45691</v>
      </c>
      <c r="C209" s="74">
        <v>36</v>
      </c>
      <c r="D209" s="3" t="s">
        <v>148</v>
      </c>
      <c r="E209" t="s">
        <v>622</v>
      </c>
      <c r="F209" s="77"/>
      <c r="G209" s="76"/>
      <c r="H209" s="78"/>
    </row>
    <row r="210" spans="1:8" x14ac:dyDescent="0.3">
      <c r="A210" s="144"/>
      <c r="B210" s="122">
        <v>45691</v>
      </c>
      <c r="C210" s="74">
        <v>36</v>
      </c>
      <c r="D210" s="3" t="s">
        <v>148</v>
      </c>
      <c r="E210" t="s">
        <v>615</v>
      </c>
      <c r="F210" s="77"/>
      <c r="G210" s="76"/>
      <c r="H210" s="78"/>
    </row>
    <row r="211" spans="1:8" x14ac:dyDescent="0.3">
      <c r="A211" s="144"/>
      <c r="B211" s="122">
        <v>45691</v>
      </c>
      <c r="C211" s="74">
        <v>36</v>
      </c>
      <c r="D211" s="3" t="s">
        <v>148</v>
      </c>
      <c r="E211" s="2" t="s">
        <v>336</v>
      </c>
      <c r="F211" s="77"/>
      <c r="G211" s="76"/>
      <c r="H211" s="78"/>
    </row>
    <row r="212" spans="1:8" x14ac:dyDescent="0.3">
      <c r="A212" s="144"/>
      <c r="B212" s="122">
        <v>45691</v>
      </c>
      <c r="C212" s="74">
        <v>36</v>
      </c>
      <c r="D212" s="3" t="s">
        <v>148</v>
      </c>
      <c r="E212" t="s">
        <v>328</v>
      </c>
      <c r="F212" s="77"/>
      <c r="G212" s="76"/>
      <c r="H212" s="78"/>
    </row>
    <row r="213" spans="1:8" x14ac:dyDescent="0.3">
      <c r="A213" s="144"/>
      <c r="B213" s="122">
        <v>45691</v>
      </c>
      <c r="C213" s="74">
        <v>36</v>
      </c>
      <c r="D213" s="3" t="s">
        <v>148</v>
      </c>
      <c r="E213" t="s">
        <v>304</v>
      </c>
      <c r="F213" s="77"/>
      <c r="G213" s="76"/>
      <c r="H213" s="78"/>
    </row>
    <row r="214" spans="1:8" x14ac:dyDescent="0.3">
      <c r="A214" s="144"/>
      <c r="B214" s="122">
        <v>45691</v>
      </c>
      <c r="C214" s="74">
        <v>36</v>
      </c>
      <c r="D214" s="3" t="s">
        <v>148</v>
      </c>
      <c r="E214" t="s">
        <v>347</v>
      </c>
      <c r="F214" s="77"/>
      <c r="G214" s="76"/>
      <c r="H214" s="78"/>
    </row>
    <row r="215" spans="1:8" x14ac:dyDescent="0.3">
      <c r="A215" s="144"/>
      <c r="B215" s="122">
        <v>45692</v>
      </c>
      <c r="C215" s="74">
        <v>36</v>
      </c>
      <c r="D215" s="3" t="s">
        <v>148</v>
      </c>
      <c r="E215" t="s">
        <v>301</v>
      </c>
      <c r="F215" s="77"/>
      <c r="G215" s="76"/>
      <c r="H215" s="78"/>
    </row>
    <row r="216" spans="1:8" x14ac:dyDescent="0.3">
      <c r="A216" s="144"/>
      <c r="B216" s="122">
        <v>45692</v>
      </c>
      <c r="C216" s="74">
        <v>12</v>
      </c>
      <c r="D216" s="3" t="s">
        <v>148</v>
      </c>
      <c r="E216" t="s">
        <v>604</v>
      </c>
      <c r="F216" s="77"/>
      <c r="G216" s="76"/>
      <c r="H216" s="78"/>
    </row>
    <row r="217" spans="1:8" x14ac:dyDescent="0.3">
      <c r="A217" s="144"/>
      <c r="B217" s="122">
        <v>45693</v>
      </c>
      <c r="C217" s="74">
        <v>36</v>
      </c>
      <c r="D217" s="3" t="s">
        <v>148</v>
      </c>
      <c r="E217" t="s">
        <v>306</v>
      </c>
      <c r="F217" s="77"/>
      <c r="G217" s="76"/>
      <c r="H217" s="78"/>
    </row>
    <row r="218" spans="1:8" x14ac:dyDescent="0.3">
      <c r="A218" s="144"/>
      <c r="B218" s="122">
        <v>45698</v>
      </c>
      <c r="C218" s="74">
        <v>36</v>
      </c>
      <c r="D218" s="3" t="s">
        <v>148</v>
      </c>
      <c r="E218" s="2" t="s">
        <v>639</v>
      </c>
      <c r="F218" s="77"/>
      <c r="G218" s="76"/>
      <c r="H218" s="78"/>
    </row>
    <row r="219" spans="1:8" x14ac:dyDescent="0.3">
      <c r="A219" s="144"/>
      <c r="B219" s="122">
        <v>45712</v>
      </c>
      <c r="C219" s="74">
        <v>765</v>
      </c>
      <c r="D219" s="3" t="s">
        <v>148</v>
      </c>
      <c r="E219" t="s">
        <v>348</v>
      </c>
      <c r="F219" s="77"/>
      <c r="G219" s="76"/>
      <c r="H219" s="78"/>
    </row>
    <row r="220" spans="1:8" x14ac:dyDescent="0.3">
      <c r="A220" s="144"/>
      <c r="B220" s="122">
        <v>45712</v>
      </c>
      <c r="C220" s="74">
        <v>36</v>
      </c>
      <c r="D220" s="3" t="s">
        <v>148</v>
      </c>
      <c r="E220" t="s">
        <v>648</v>
      </c>
      <c r="F220" s="77"/>
      <c r="G220" s="76"/>
      <c r="H220" s="78"/>
    </row>
    <row r="221" spans="1:8" x14ac:dyDescent="0.3">
      <c r="A221" s="144"/>
      <c r="B221" s="122">
        <v>45712</v>
      </c>
      <c r="C221" s="74">
        <v>36</v>
      </c>
      <c r="D221" s="3" t="s">
        <v>148</v>
      </c>
      <c r="E221" t="s">
        <v>307</v>
      </c>
      <c r="F221" s="77"/>
      <c r="G221" s="76"/>
      <c r="H221" s="78"/>
    </row>
    <row r="222" spans="1:8" x14ac:dyDescent="0.3">
      <c r="A222" s="144"/>
      <c r="B222" s="122">
        <v>45713</v>
      </c>
      <c r="C222" s="74">
        <v>54</v>
      </c>
      <c r="D222" s="3" t="s">
        <v>250</v>
      </c>
      <c r="E222" s="2" t="s">
        <v>641</v>
      </c>
      <c r="F222" s="77"/>
      <c r="G222" s="76"/>
      <c r="H222" s="78"/>
    </row>
    <row r="223" spans="1:8" x14ac:dyDescent="0.3">
      <c r="A223" s="144"/>
      <c r="C223" s="74"/>
      <c r="D223" s="3"/>
      <c r="F223" s="77"/>
      <c r="G223" s="76"/>
      <c r="H223" s="78"/>
    </row>
    <row r="224" spans="1:8" x14ac:dyDescent="0.3">
      <c r="C224" s="120">
        <f>SUM(C200:C222)</f>
        <v>1539</v>
      </c>
      <c r="F224" s="77"/>
      <c r="G224" s="120">
        <f>SUM(G200:G222)</f>
        <v>255.75</v>
      </c>
      <c r="H224" s="78"/>
    </row>
    <row r="225" spans="1:10" x14ac:dyDescent="0.3">
      <c r="B225" s="162">
        <v>45717</v>
      </c>
      <c r="C225" s="162"/>
      <c r="D225" s="162"/>
      <c r="E225" s="162"/>
      <c r="F225" s="164">
        <v>45717</v>
      </c>
      <c r="G225" s="164"/>
      <c r="H225" s="164"/>
      <c r="I225" s="164"/>
      <c r="J225" s="118">
        <f>J199+C224-G224</f>
        <v>25604.25</v>
      </c>
    </row>
    <row r="226" spans="1:10" x14ac:dyDescent="0.3">
      <c r="B226" s="122">
        <v>45719</v>
      </c>
      <c r="C226" s="74">
        <v>18</v>
      </c>
      <c r="D226" s="30" t="s">
        <v>148</v>
      </c>
      <c r="E226" s="2" t="s">
        <v>733</v>
      </c>
      <c r="F226" s="77">
        <v>45722</v>
      </c>
      <c r="G226" s="76">
        <v>117.6</v>
      </c>
      <c r="H226" s="78" t="s">
        <v>247</v>
      </c>
      <c r="I226" t="s">
        <v>652</v>
      </c>
    </row>
    <row r="227" spans="1:10" x14ac:dyDescent="0.3">
      <c r="A227" s="144"/>
      <c r="B227" s="122">
        <v>45721</v>
      </c>
      <c r="C227" s="74">
        <v>1125</v>
      </c>
      <c r="D227" s="30" t="s">
        <v>148</v>
      </c>
      <c r="E227" t="s">
        <v>349</v>
      </c>
      <c r="F227" s="77">
        <v>45722</v>
      </c>
      <c r="G227" s="76">
        <v>258.98</v>
      </c>
      <c r="H227" s="78" t="s">
        <v>247</v>
      </c>
      <c r="I227" t="s">
        <v>653</v>
      </c>
    </row>
    <row r="228" spans="1:10" x14ac:dyDescent="0.3">
      <c r="B228" s="122">
        <v>45722</v>
      </c>
      <c r="C228" s="74">
        <v>36</v>
      </c>
      <c r="D228" s="3" t="s">
        <v>148</v>
      </c>
      <c r="E228" s="2" t="s">
        <v>350</v>
      </c>
      <c r="F228" s="77">
        <v>45733</v>
      </c>
      <c r="G228" s="76">
        <v>96.25</v>
      </c>
      <c r="H228" s="78" t="s">
        <v>247</v>
      </c>
      <c r="I228" t="s">
        <v>234</v>
      </c>
    </row>
    <row r="229" spans="1:10" x14ac:dyDescent="0.3">
      <c r="A229" s="144"/>
      <c r="B229" s="122">
        <v>45733</v>
      </c>
      <c r="C229" s="74">
        <v>36</v>
      </c>
      <c r="D229" s="30" t="s">
        <v>148</v>
      </c>
      <c r="E229" t="s">
        <v>640</v>
      </c>
      <c r="F229" s="77">
        <v>45733</v>
      </c>
      <c r="G229" s="76">
        <v>102.85</v>
      </c>
      <c r="H229" s="78" t="s">
        <v>247</v>
      </c>
      <c r="I229" t="s">
        <v>249</v>
      </c>
    </row>
    <row r="230" spans="1:10" x14ac:dyDescent="0.3">
      <c r="B230" s="122">
        <v>45735</v>
      </c>
      <c r="C230" s="74">
        <v>1643</v>
      </c>
      <c r="D230" s="30" t="s">
        <v>148</v>
      </c>
      <c r="E230" s="2" t="s">
        <v>352</v>
      </c>
      <c r="F230" s="77">
        <v>45733</v>
      </c>
      <c r="G230" s="76">
        <v>110.05</v>
      </c>
      <c r="H230" s="78" t="s">
        <v>247</v>
      </c>
      <c r="I230" t="s">
        <v>259</v>
      </c>
    </row>
    <row r="231" spans="1:10" x14ac:dyDescent="0.3">
      <c r="B231" s="122">
        <v>45740</v>
      </c>
      <c r="C231" s="74">
        <v>500</v>
      </c>
      <c r="D231" s="30" t="s">
        <v>332</v>
      </c>
      <c r="E231" s="2" t="s">
        <v>695</v>
      </c>
      <c r="F231" s="77">
        <v>45733</v>
      </c>
      <c r="G231" s="76">
        <v>108.85</v>
      </c>
      <c r="H231" s="78" t="s">
        <v>247</v>
      </c>
      <c r="I231" t="s">
        <v>231</v>
      </c>
    </row>
    <row r="232" spans="1:10" x14ac:dyDescent="0.3">
      <c r="B232" s="77">
        <v>45747</v>
      </c>
      <c r="C232" s="74">
        <v>36</v>
      </c>
      <c r="D232" s="30" t="s">
        <v>148</v>
      </c>
      <c r="E232" s="2" t="s">
        <v>339</v>
      </c>
      <c r="F232" s="77">
        <v>45733</v>
      </c>
      <c r="G232" s="76">
        <v>96.25</v>
      </c>
      <c r="H232" s="78" t="s">
        <v>247</v>
      </c>
      <c r="I232" s="133" t="s">
        <v>235</v>
      </c>
    </row>
    <row r="233" spans="1:10" x14ac:dyDescent="0.3">
      <c r="B233" s="77">
        <v>45747</v>
      </c>
      <c r="C233" s="74">
        <v>54</v>
      </c>
      <c r="D233" s="30" t="s">
        <v>148</v>
      </c>
      <c r="E233" t="s">
        <v>312</v>
      </c>
      <c r="F233" s="77">
        <v>45733</v>
      </c>
      <c r="G233" s="76">
        <v>50</v>
      </c>
      <c r="H233" s="78" t="s">
        <v>247</v>
      </c>
      <c r="I233" t="s">
        <v>233</v>
      </c>
    </row>
    <row r="234" spans="1:10" x14ac:dyDescent="0.3">
      <c r="C234" s="74"/>
      <c r="E234" s="2"/>
      <c r="F234" s="77">
        <v>45734</v>
      </c>
      <c r="G234" s="76">
        <v>578.54999999999995</v>
      </c>
      <c r="H234" s="78" t="s">
        <v>247</v>
      </c>
      <c r="I234" t="s">
        <v>281</v>
      </c>
    </row>
    <row r="235" spans="1:10" x14ac:dyDescent="0.3">
      <c r="C235" s="74"/>
      <c r="E235" s="2"/>
      <c r="F235" s="77">
        <v>45734</v>
      </c>
      <c r="G235" s="76">
        <v>4.25</v>
      </c>
      <c r="H235" s="78" t="s">
        <v>351</v>
      </c>
      <c r="I235" t="s">
        <v>651</v>
      </c>
    </row>
    <row r="236" spans="1:10" x14ac:dyDescent="0.3">
      <c r="C236" s="74"/>
      <c r="E236" s="2"/>
      <c r="F236" s="77">
        <v>45747</v>
      </c>
      <c r="G236" s="76">
        <v>102</v>
      </c>
      <c r="H236" s="78" t="s">
        <v>247</v>
      </c>
      <c r="I236" t="s">
        <v>707</v>
      </c>
    </row>
    <row r="237" spans="1:10" x14ac:dyDescent="0.3">
      <c r="C237" s="74"/>
      <c r="E237" s="2"/>
      <c r="F237" s="77">
        <v>45747</v>
      </c>
      <c r="G237" s="76">
        <v>423.5</v>
      </c>
      <c r="H237" s="78" t="s">
        <v>247</v>
      </c>
      <c r="I237" t="s">
        <v>326</v>
      </c>
    </row>
    <row r="238" spans="1:10" x14ac:dyDescent="0.3">
      <c r="C238" s="74"/>
      <c r="E238" s="2"/>
      <c r="F238" s="77">
        <v>45747</v>
      </c>
      <c r="G238" s="76">
        <v>423.5</v>
      </c>
      <c r="H238" s="78" t="s">
        <v>247</v>
      </c>
      <c r="I238" t="s">
        <v>237</v>
      </c>
    </row>
    <row r="239" spans="1:10" x14ac:dyDescent="0.3">
      <c r="C239" s="74"/>
      <c r="E239" s="2"/>
      <c r="F239" s="77">
        <v>45747</v>
      </c>
      <c r="G239" s="76">
        <v>423.5</v>
      </c>
      <c r="H239" s="78" t="s">
        <v>247</v>
      </c>
      <c r="I239" t="s">
        <v>236</v>
      </c>
    </row>
    <row r="240" spans="1:10" x14ac:dyDescent="0.3">
      <c r="C240" s="74"/>
      <c r="E240" s="2"/>
      <c r="F240" s="77">
        <v>45747</v>
      </c>
      <c r="G240" s="76">
        <v>423.5</v>
      </c>
      <c r="H240" s="78" t="s">
        <v>247</v>
      </c>
      <c r="I240" t="s">
        <v>340</v>
      </c>
    </row>
    <row r="241" spans="1:10" x14ac:dyDescent="0.3">
      <c r="C241" s="74"/>
      <c r="E241" s="2"/>
      <c r="F241" s="77"/>
      <c r="G241" s="76"/>
      <c r="H241" s="78"/>
    </row>
    <row r="242" spans="1:10" x14ac:dyDescent="0.3">
      <c r="C242" s="120">
        <f>SUM(C226:C241)</f>
        <v>3448</v>
      </c>
      <c r="F242" s="77"/>
      <c r="G242" s="120">
        <f>SUM(G226:G241)</f>
        <v>3319.63</v>
      </c>
      <c r="H242" s="78"/>
    </row>
    <row r="243" spans="1:10" x14ac:dyDescent="0.3">
      <c r="B243" s="162">
        <v>45748</v>
      </c>
      <c r="C243" s="162"/>
      <c r="D243" s="162"/>
      <c r="E243" s="162"/>
      <c r="F243" s="164">
        <v>45748</v>
      </c>
      <c r="G243" s="164"/>
      <c r="H243" s="164"/>
      <c r="I243" s="164"/>
      <c r="J243" s="118">
        <f>J225+C242-G242</f>
        <v>25732.62</v>
      </c>
    </row>
    <row r="244" spans="1:10" x14ac:dyDescent="0.3">
      <c r="B244" s="122">
        <v>45754</v>
      </c>
      <c r="C244" s="74">
        <v>36</v>
      </c>
      <c r="D244" s="3" t="s">
        <v>148</v>
      </c>
      <c r="E244" t="s">
        <v>615</v>
      </c>
      <c r="F244" s="122">
        <v>45762</v>
      </c>
      <c r="G244" s="76">
        <v>4.25</v>
      </c>
      <c r="H244" s="78" t="s">
        <v>351</v>
      </c>
      <c r="I244" t="s">
        <v>651</v>
      </c>
    </row>
    <row r="245" spans="1:10" x14ac:dyDescent="0.3">
      <c r="A245" s="145"/>
      <c r="B245" s="122">
        <v>45762</v>
      </c>
      <c r="C245" s="74">
        <v>27</v>
      </c>
      <c r="D245" s="3" t="s">
        <v>148</v>
      </c>
      <c r="E245" s="2" t="s">
        <v>736</v>
      </c>
      <c r="F245" s="122">
        <v>45770</v>
      </c>
      <c r="G245" s="76">
        <v>36</v>
      </c>
      <c r="H245" s="78" t="s">
        <v>247</v>
      </c>
      <c r="I245" t="s">
        <v>353</v>
      </c>
    </row>
    <row r="246" spans="1:10" x14ac:dyDescent="0.3">
      <c r="A246" s="145"/>
      <c r="B246" s="122">
        <v>45770</v>
      </c>
      <c r="C246" s="74">
        <v>18</v>
      </c>
      <c r="D246" s="3" t="s">
        <v>148</v>
      </c>
      <c r="E246" s="2" t="s">
        <v>603</v>
      </c>
      <c r="F246" s="122">
        <v>45771</v>
      </c>
      <c r="G246" s="76">
        <v>60.64</v>
      </c>
      <c r="H246" s="78" t="s">
        <v>247</v>
      </c>
      <c r="I246" t="s">
        <v>591</v>
      </c>
    </row>
    <row r="247" spans="1:10" x14ac:dyDescent="0.3">
      <c r="A247" s="145"/>
      <c r="B247" s="122">
        <v>45771</v>
      </c>
      <c r="C247" s="74">
        <v>27</v>
      </c>
      <c r="D247" s="3" t="s">
        <v>148</v>
      </c>
      <c r="E247" s="2" t="s">
        <v>709</v>
      </c>
      <c r="F247" s="122">
        <v>45775</v>
      </c>
      <c r="G247" s="76">
        <v>96.25</v>
      </c>
      <c r="H247" s="78" t="s">
        <v>247</v>
      </c>
      <c r="I247" t="s">
        <v>234</v>
      </c>
    </row>
    <row r="248" spans="1:10" x14ac:dyDescent="0.3">
      <c r="A248" s="145"/>
      <c r="B248" s="122">
        <v>45771</v>
      </c>
      <c r="C248" s="74">
        <v>18</v>
      </c>
      <c r="D248" s="3" t="s">
        <v>148</v>
      </c>
      <c r="E248" t="s">
        <v>609</v>
      </c>
      <c r="F248" s="122">
        <v>45775</v>
      </c>
      <c r="G248" s="76">
        <v>96.25</v>
      </c>
      <c r="H248" s="78" t="s">
        <v>247</v>
      </c>
      <c r="I248" t="s">
        <v>230</v>
      </c>
    </row>
    <row r="249" spans="1:10" x14ac:dyDescent="0.3">
      <c r="A249" s="145"/>
      <c r="B249" s="122">
        <v>45771</v>
      </c>
      <c r="C249" s="74">
        <v>27</v>
      </c>
      <c r="D249" s="3" t="s">
        <v>148</v>
      </c>
      <c r="E249" s="2" t="s">
        <v>718</v>
      </c>
      <c r="F249" s="122">
        <v>45775</v>
      </c>
      <c r="G249" s="76">
        <v>205.1</v>
      </c>
      <c r="H249" s="78" t="s">
        <v>247</v>
      </c>
      <c r="I249" t="s">
        <v>231</v>
      </c>
    </row>
    <row r="250" spans="1:10" x14ac:dyDescent="0.3">
      <c r="A250" s="145"/>
      <c r="B250" s="122">
        <v>45771</v>
      </c>
      <c r="C250" s="74">
        <v>18</v>
      </c>
      <c r="D250" s="3" t="s">
        <v>148</v>
      </c>
      <c r="E250" s="2" t="s">
        <v>354</v>
      </c>
      <c r="F250" s="122">
        <v>45775</v>
      </c>
      <c r="G250" s="76">
        <v>50</v>
      </c>
      <c r="H250" s="78" t="s">
        <v>247</v>
      </c>
      <c r="I250" t="s">
        <v>233</v>
      </c>
    </row>
    <row r="251" spans="1:10" x14ac:dyDescent="0.3">
      <c r="A251" s="145"/>
      <c r="B251" s="122">
        <v>45771</v>
      </c>
      <c r="C251" s="74">
        <v>18</v>
      </c>
      <c r="D251" s="3" t="s">
        <v>148</v>
      </c>
      <c r="E251" s="2" t="s">
        <v>304</v>
      </c>
      <c r="F251" s="122"/>
      <c r="G251" s="76"/>
      <c r="H251" s="78"/>
    </row>
    <row r="252" spans="1:10" x14ac:dyDescent="0.3">
      <c r="A252" s="145"/>
      <c r="B252" s="122">
        <v>45771</v>
      </c>
      <c r="C252" s="74">
        <v>18</v>
      </c>
      <c r="D252" s="3" t="s">
        <v>148</v>
      </c>
      <c r="E252" t="s">
        <v>635</v>
      </c>
      <c r="F252" s="122"/>
      <c r="G252" s="76"/>
      <c r="H252" s="78"/>
    </row>
    <row r="253" spans="1:10" x14ac:dyDescent="0.3">
      <c r="A253" s="145"/>
      <c r="B253" s="122">
        <v>45771</v>
      </c>
      <c r="C253" s="74">
        <v>18</v>
      </c>
      <c r="D253" s="3" t="s">
        <v>148</v>
      </c>
      <c r="E253" s="2" t="s">
        <v>606</v>
      </c>
      <c r="F253" s="122"/>
      <c r="G253" s="76"/>
      <c r="H253" s="78"/>
    </row>
    <row r="254" spans="1:10" x14ac:dyDescent="0.3">
      <c r="A254" s="145"/>
      <c r="B254" s="122">
        <v>45771</v>
      </c>
      <c r="C254" s="74">
        <v>18</v>
      </c>
      <c r="D254" s="3" t="s">
        <v>148</v>
      </c>
      <c r="E254" t="s">
        <v>648</v>
      </c>
      <c r="F254" s="122"/>
      <c r="G254" s="76"/>
      <c r="H254" s="78"/>
    </row>
    <row r="255" spans="1:10" x14ac:dyDescent="0.3">
      <c r="A255" s="145"/>
      <c r="B255" s="122">
        <v>45771</v>
      </c>
      <c r="C255" s="74">
        <v>18</v>
      </c>
      <c r="D255" s="30" t="s">
        <v>148</v>
      </c>
      <c r="E255" s="2" t="s">
        <v>734</v>
      </c>
      <c r="F255" s="122"/>
      <c r="G255" s="76"/>
      <c r="H255" s="78"/>
    </row>
    <row r="256" spans="1:10" x14ac:dyDescent="0.3">
      <c r="A256" s="145"/>
      <c r="B256" s="122">
        <v>45772</v>
      </c>
      <c r="C256" s="74">
        <v>18</v>
      </c>
      <c r="D256" s="30" t="s">
        <v>148</v>
      </c>
      <c r="E256" s="2" t="s">
        <v>735</v>
      </c>
      <c r="F256" s="122"/>
      <c r="G256" s="76"/>
      <c r="H256" s="78"/>
    </row>
    <row r="257" spans="1:8" x14ac:dyDescent="0.3">
      <c r="A257" s="145"/>
      <c r="B257" s="122">
        <v>45772</v>
      </c>
      <c r="C257" s="74">
        <v>18</v>
      </c>
      <c r="D257" s="3" t="s">
        <v>148</v>
      </c>
      <c r="E257" s="2" t="s">
        <v>607</v>
      </c>
      <c r="F257" s="77"/>
      <c r="G257" s="76"/>
      <c r="H257" s="78"/>
    </row>
    <row r="258" spans="1:8" x14ac:dyDescent="0.3">
      <c r="A258" s="145"/>
      <c r="B258" s="122">
        <v>45772</v>
      </c>
      <c r="C258" s="74">
        <v>27</v>
      </c>
      <c r="D258" s="30" t="s">
        <v>148</v>
      </c>
      <c r="E258" s="2" t="s">
        <v>722</v>
      </c>
      <c r="F258" s="77"/>
      <c r="G258" s="76"/>
      <c r="H258" s="78"/>
    </row>
    <row r="259" spans="1:8" x14ac:dyDescent="0.3">
      <c r="A259" s="145"/>
      <c r="B259" s="122">
        <v>45772</v>
      </c>
      <c r="C259" s="74">
        <v>18</v>
      </c>
      <c r="D259" s="3" t="s">
        <v>148</v>
      </c>
      <c r="E259" s="2" t="s">
        <v>245</v>
      </c>
      <c r="F259" s="77"/>
      <c r="G259" s="74"/>
      <c r="H259" s="78"/>
    </row>
    <row r="260" spans="1:8" x14ac:dyDescent="0.3">
      <c r="A260" s="145"/>
      <c r="B260" s="122">
        <v>45775</v>
      </c>
      <c r="C260" s="74">
        <v>27</v>
      </c>
      <c r="D260" s="3" t="s">
        <v>148</v>
      </c>
      <c r="E260" t="s">
        <v>327</v>
      </c>
      <c r="F260" s="77"/>
      <c r="G260" s="74"/>
      <c r="H260" s="78"/>
    </row>
    <row r="261" spans="1:8" x14ac:dyDescent="0.3">
      <c r="A261" s="145"/>
      <c r="B261" s="122">
        <v>45775</v>
      </c>
      <c r="C261" s="74">
        <v>27</v>
      </c>
      <c r="D261" s="30" t="s">
        <v>148</v>
      </c>
      <c r="E261" s="2" t="s">
        <v>297</v>
      </c>
      <c r="F261" s="77"/>
      <c r="G261" s="74"/>
      <c r="H261" s="78"/>
    </row>
    <row r="262" spans="1:8" x14ac:dyDescent="0.3">
      <c r="A262" s="145"/>
      <c r="B262" s="122">
        <v>45775</v>
      </c>
      <c r="C262" s="74">
        <v>36</v>
      </c>
      <c r="D262" s="3" t="s">
        <v>148</v>
      </c>
      <c r="E262" s="2" t="s">
        <v>310</v>
      </c>
      <c r="F262" s="77"/>
      <c r="G262" s="74"/>
      <c r="H262" s="78"/>
    </row>
    <row r="263" spans="1:8" x14ac:dyDescent="0.3">
      <c r="A263" s="145"/>
      <c r="B263" s="122">
        <v>45775</v>
      </c>
      <c r="C263" s="74">
        <v>18</v>
      </c>
      <c r="D263" s="3" t="s">
        <v>148</v>
      </c>
      <c r="E263" t="s">
        <v>632</v>
      </c>
      <c r="F263" s="77"/>
      <c r="G263" s="74"/>
      <c r="H263" s="78"/>
    </row>
    <row r="264" spans="1:8" x14ac:dyDescent="0.3">
      <c r="A264" s="145"/>
      <c r="B264" s="122">
        <v>45775</v>
      </c>
      <c r="C264" s="74">
        <v>18</v>
      </c>
      <c r="D264" s="3" t="s">
        <v>148</v>
      </c>
      <c r="E264" t="s">
        <v>346</v>
      </c>
    </row>
    <row r="265" spans="1:8" x14ac:dyDescent="0.3">
      <c r="A265" s="145"/>
      <c r="B265" s="122">
        <v>45775</v>
      </c>
      <c r="C265" s="74">
        <v>18</v>
      </c>
      <c r="D265" s="3" t="s">
        <v>148</v>
      </c>
      <c r="E265" s="2" t="s">
        <v>307</v>
      </c>
      <c r="F265" s="77"/>
      <c r="G265" s="74"/>
      <c r="H265" s="78"/>
    </row>
    <row r="266" spans="1:8" x14ac:dyDescent="0.3">
      <c r="A266" s="145"/>
      <c r="B266" s="122">
        <v>45775</v>
      </c>
      <c r="C266" s="74">
        <v>18</v>
      </c>
      <c r="D266" s="3" t="s">
        <v>148</v>
      </c>
      <c r="E266" s="2" t="s">
        <v>592</v>
      </c>
      <c r="F266" s="77"/>
      <c r="G266" s="74"/>
      <c r="H266" s="78"/>
    </row>
    <row r="267" spans="1:8" x14ac:dyDescent="0.3">
      <c r="A267" s="145"/>
      <c r="B267" s="122">
        <v>45775</v>
      </c>
      <c r="C267" s="74">
        <v>18</v>
      </c>
      <c r="D267" s="3" t="s">
        <v>148</v>
      </c>
      <c r="E267" s="2" t="s">
        <v>336</v>
      </c>
      <c r="F267" s="77"/>
      <c r="G267" s="74"/>
      <c r="H267" s="78"/>
    </row>
    <row r="268" spans="1:8" x14ac:dyDescent="0.3">
      <c r="A268" s="145"/>
      <c r="B268" s="122">
        <v>45776</v>
      </c>
      <c r="C268" s="74">
        <v>18</v>
      </c>
      <c r="D268" s="3" t="s">
        <v>148</v>
      </c>
      <c r="E268" s="2" t="s">
        <v>246</v>
      </c>
      <c r="F268" s="77"/>
      <c r="G268" s="74"/>
      <c r="H268" s="78"/>
    </row>
    <row r="269" spans="1:8" x14ac:dyDescent="0.3">
      <c r="A269" s="145"/>
      <c r="B269" s="122">
        <v>45776</v>
      </c>
      <c r="C269" s="74">
        <v>27</v>
      </c>
      <c r="D269" s="3" t="s">
        <v>148</v>
      </c>
      <c r="E269" t="s">
        <v>737</v>
      </c>
      <c r="F269" s="77"/>
      <c r="G269" s="74"/>
      <c r="H269" s="78"/>
    </row>
    <row r="270" spans="1:8" x14ac:dyDescent="0.3">
      <c r="A270" s="145"/>
      <c r="B270" s="122">
        <v>45777</v>
      </c>
      <c r="C270" s="74">
        <v>18</v>
      </c>
      <c r="D270" s="3" t="s">
        <v>148</v>
      </c>
      <c r="E270" s="2" t="s">
        <v>321</v>
      </c>
      <c r="F270" s="77"/>
      <c r="G270" s="74"/>
      <c r="H270" s="78"/>
    </row>
    <row r="271" spans="1:8" x14ac:dyDescent="0.3">
      <c r="A271" s="145"/>
      <c r="B271" s="122">
        <v>45777</v>
      </c>
      <c r="C271" s="74">
        <v>25</v>
      </c>
      <c r="D271" s="3" t="s">
        <v>148</v>
      </c>
      <c r="E271" s="2" t="s">
        <v>646</v>
      </c>
      <c r="F271" s="77"/>
      <c r="G271" s="74"/>
      <c r="H271" s="78"/>
    </row>
    <row r="272" spans="1:8" x14ac:dyDescent="0.3">
      <c r="A272" s="145"/>
      <c r="B272" s="122">
        <v>45777</v>
      </c>
      <c r="C272" s="74">
        <v>21</v>
      </c>
      <c r="D272" s="3" t="s">
        <v>148</v>
      </c>
      <c r="E272" s="2" t="s">
        <v>696</v>
      </c>
      <c r="F272" s="77"/>
      <c r="G272" s="74"/>
      <c r="H272" s="78"/>
    </row>
    <row r="273" spans="1:10" x14ac:dyDescent="0.3">
      <c r="A273" s="145"/>
      <c r="C273" s="74"/>
      <c r="D273" s="3"/>
      <c r="E273" s="2"/>
      <c r="F273" s="77"/>
      <c r="G273" s="74"/>
      <c r="H273" s="78"/>
    </row>
    <row r="274" spans="1:10" x14ac:dyDescent="0.3">
      <c r="C274" s="120">
        <f>SUM(C244:C272)</f>
        <v>631</v>
      </c>
      <c r="F274" s="77"/>
      <c r="G274" s="120">
        <f>SUM(G244:G270)</f>
        <v>548.49</v>
      </c>
      <c r="H274" s="78"/>
    </row>
    <row r="275" spans="1:10" x14ac:dyDescent="0.3">
      <c r="B275" s="162">
        <v>45778</v>
      </c>
      <c r="C275" s="162"/>
      <c r="D275" s="162"/>
      <c r="E275" s="162"/>
      <c r="F275" s="164">
        <v>45778</v>
      </c>
      <c r="G275" s="164"/>
      <c r="H275" s="164"/>
      <c r="I275" s="164"/>
      <c r="J275" s="118">
        <f>J243+C274-G274</f>
        <v>25815.129999999997</v>
      </c>
    </row>
    <row r="276" spans="1:10" x14ac:dyDescent="0.3">
      <c r="A276" s="145"/>
      <c r="B276" s="122">
        <v>45778</v>
      </c>
      <c r="C276" s="74">
        <v>18</v>
      </c>
      <c r="D276" s="3" t="s">
        <v>148</v>
      </c>
      <c r="E276" t="s">
        <v>616</v>
      </c>
      <c r="F276" s="77">
        <v>45796</v>
      </c>
      <c r="G276" s="76">
        <v>4.25</v>
      </c>
      <c r="H276" s="78" t="s">
        <v>351</v>
      </c>
      <c r="I276" t="s">
        <v>651</v>
      </c>
    </row>
    <row r="277" spans="1:10" x14ac:dyDescent="0.3">
      <c r="B277" s="122">
        <v>45779</v>
      </c>
      <c r="C277" s="74">
        <v>10</v>
      </c>
      <c r="D277" s="30" t="s">
        <v>148</v>
      </c>
      <c r="E277" t="s">
        <v>368</v>
      </c>
      <c r="F277" s="77">
        <v>45798</v>
      </c>
      <c r="G277" s="76">
        <v>106.25</v>
      </c>
      <c r="H277" s="78" t="s">
        <v>247</v>
      </c>
      <c r="I277" t="s">
        <v>234</v>
      </c>
    </row>
    <row r="278" spans="1:10" x14ac:dyDescent="0.3">
      <c r="A278" s="145"/>
      <c r="B278" s="122">
        <v>45783</v>
      </c>
      <c r="C278" s="74">
        <v>18</v>
      </c>
      <c r="D278" s="30" t="s">
        <v>148</v>
      </c>
      <c r="E278" t="s">
        <v>619</v>
      </c>
      <c r="F278" s="77">
        <v>45798</v>
      </c>
      <c r="G278" s="76">
        <v>118.85</v>
      </c>
      <c r="H278" s="78" t="s">
        <v>247</v>
      </c>
      <c r="I278" t="s">
        <v>231</v>
      </c>
    </row>
    <row r="279" spans="1:10" x14ac:dyDescent="0.3">
      <c r="A279" s="145"/>
      <c r="B279" s="122">
        <v>45784</v>
      </c>
      <c r="C279" s="74">
        <v>27</v>
      </c>
      <c r="D279" s="30" t="s">
        <v>148</v>
      </c>
      <c r="E279" s="2" t="s">
        <v>335</v>
      </c>
      <c r="F279" s="77">
        <v>45798</v>
      </c>
      <c r="G279" s="76">
        <v>120.05</v>
      </c>
      <c r="H279" s="78" t="s">
        <v>247</v>
      </c>
      <c r="I279" t="s">
        <v>259</v>
      </c>
    </row>
    <row r="280" spans="1:10" x14ac:dyDescent="0.3">
      <c r="B280" s="122">
        <v>45784</v>
      </c>
      <c r="C280" s="74">
        <v>18</v>
      </c>
      <c r="D280" s="30" t="s">
        <v>148</v>
      </c>
      <c r="E280" t="s">
        <v>622</v>
      </c>
      <c r="F280" s="77">
        <v>45798</v>
      </c>
      <c r="G280" s="76">
        <v>55</v>
      </c>
      <c r="H280" s="78" t="s">
        <v>247</v>
      </c>
      <c r="I280" t="s">
        <v>358</v>
      </c>
    </row>
    <row r="281" spans="1:10" x14ac:dyDescent="0.3">
      <c r="A281" s="145"/>
      <c r="B281" s="122">
        <v>45786</v>
      </c>
      <c r="C281" s="74">
        <v>27</v>
      </c>
      <c r="D281" s="30" t="s">
        <v>148</v>
      </c>
      <c r="E281" t="s">
        <v>738</v>
      </c>
      <c r="F281" s="77">
        <v>45798</v>
      </c>
      <c r="G281" s="76">
        <v>106.25</v>
      </c>
      <c r="H281" s="78" t="s">
        <v>247</v>
      </c>
      <c r="I281" t="s">
        <v>357</v>
      </c>
    </row>
    <row r="282" spans="1:10" x14ac:dyDescent="0.3">
      <c r="B282" s="122">
        <v>45789</v>
      </c>
      <c r="C282" s="74">
        <v>18</v>
      </c>
      <c r="D282" s="30" t="s">
        <v>148</v>
      </c>
      <c r="E282" s="2" t="s">
        <v>613</v>
      </c>
      <c r="F282" s="77">
        <v>45798</v>
      </c>
      <c r="G282" s="76">
        <v>112.85</v>
      </c>
      <c r="H282" s="78" t="s">
        <v>247</v>
      </c>
      <c r="I282" t="s">
        <v>249</v>
      </c>
    </row>
    <row r="283" spans="1:10" x14ac:dyDescent="0.3">
      <c r="B283" s="122">
        <v>45789</v>
      </c>
      <c r="C283" s="74">
        <v>18</v>
      </c>
      <c r="D283" s="30" t="s">
        <v>148</v>
      </c>
      <c r="E283" t="s">
        <v>617</v>
      </c>
      <c r="F283" s="77">
        <v>45798</v>
      </c>
      <c r="G283" s="76">
        <v>55</v>
      </c>
      <c r="H283" s="78" t="s">
        <v>247</v>
      </c>
      <c r="I283" t="s">
        <v>356</v>
      </c>
    </row>
    <row r="284" spans="1:10" x14ac:dyDescent="0.3">
      <c r="B284" s="122">
        <v>45789</v>
      </c>
      <c r="C284" s="74">
        <v>18</v>
      </c>
      <c r="D284" s="30" t="s">
        <v>148</v>
      </c>
      <c r="E284" s="2" t="s">
        <v>311</v>
      </c>
      <c r="F284" s="122">
        <v>45805</v>
      </c>
      <c r="G284" s="76">
        <v>578.55999999999995</v>
      </c>
      <c r="H284" s="78" t="s">
        <v>247</v>
      </c>
      <c r="I284" t="s">
        <v>281</v>
      </c>
    </row>
    <row r="285" spans="1:10" x14ac:dyDescent="0.3">
      <c r="B285" s="122">
        <v>45789</v>
      </c>
      <c r="C285" s="74">
        <v>18</v>
      </c>
      <c r="D285" s="30" t="s">
        <v>148</v>
      </c>
      <c r="E285" t="s">
        <v>347</v>
      </c>
      <c r="F285" s="79"/>
      <c r="G285" s="76"/>
      <c r="H285" s="78"/>
    </row>
    <row r="286" spans="1:10" x14ac:dyDescent="0.3">
      <c r="B286" s="122">
        <v>45792</v>
      </c>
      <c r="C286" s="74">
        <v>27</v>
      </c>
      <c r="D286" s="30" t="s">
        <v>148</v>
      </c>
      <c r="E286" t="s">
        <v>312</v>
      </c>
      <c r="F286" s="79"/>
      <c r="G286" s="76"/>
      <c r="H286" s="78"/>
    </row>
    <row r="287" spans="1:10" x14ac:dyDescent="0.3">
      <c r="B287" s="122">
        <v>45793</v>
      </c>
      <c r="C287" s="74">
        <v>5</v>
      </c>
      <c r="D287" s="30" t="s">
        <v>148</v>
      </c>
      <c r="E287" t="s">
        <v>643</v>
      </c>
      <c r="F287" s="79"/>
      <c r="G287" s="76"/>
      <c r="H287" s="78"/>
    </row>
    <row r="288" spans="1:10" x14ac:dyDescent="0.3">
      <c r="B288" s="122">
        <v>45796</v>
      </c>
      <c r="C288" s="74">
        <v>18</v>
      </c>
      <c r="D288" s="30" t="s">
        <v>148</v>
      </c>
      <c r="E288" t="s">
        <v>610</v>
      </c>
      <c r="F288" s="79"/>
      <c r="G288" s="76"/>
      <c r="H288" s="78"/>
    </row>
    <row r="289" spans="2:8" x14ac:dyDescent="0.3">
      <c r="B289" s="122">
        <v>45796</v>
      </c>
      <c r="C289" s="74">
        <v>18</v>
      </c>
      <c r="D289" s="30" t="s">
        <v>148</v>
      </c>
      <c r="E289" t="s">
        <v>697</v>
      </c>
      <c r="F289" s="79"/>
      <c r="G289" s="76"/>
      <c r="H289" s="78"/>
    </row>
    <row r="290" spans="2:8" x14ac:dyDescent="0.3">
      <c r="B290" s="122">
        <v>45797</v>
      </c>
      <c r="C290" s="74">
        <v>18</v>
      </c>
      <c r="D290" s="30" t="s">
        <v>148</v>
      </c>
      <c r="E290" t="s">
        <v>301</v>
      </c>
      <c r="F290" s="79"/>
      <c r="G290" s="76"/>
      <c r="H290" s="78"/>
    </row>
    <row r="291" spans="2:8" x14ac:dyDescent="0.3">
      <c r="B291" s="122">
        <v>45797</v>
      </c>
      <c r="C291" s="74">
        <v>20</v>
      </c>
      <c r="D291" s="30" t="s">
        <v>148</v>
      </c>
      <c r="E291" t="s">
        <v>645</v>
      </c>
      <c r="F291" s="79"/>
      <c r="G291" s="76"/>
      <c r="H291" s="78"/>
    </row>
    <row r="292" spans="2:8" x14ac:dyDescent="0.3">
      <c r="B292" s="122">
        <v>45798</v>
      </c>
      <c r="C292" s="74">
        <v>1</v>
      </c>
      <c r="D292" s="30" t="s">
        <v>355</v>
      </c>
      <c r="E292" s="2" t="s">
        <v>184</v>
      </c>
      <c r="F292" s="79"/>
      <c r="G292" s="76"/>
      <c r="H292" s="78"/>
    </row>
    <row r="293" spans="2:8" x14ac:dyDescent="0.3">
      <c r="B293" s="122">
        <v>45804</v>
      </c>
      <c r="C293" s="74">
        <v>18</v>
      </c>
      <c r="D293" s="30" t="s">
        <v>148</v>
      </c>
      <c r="E293" t="s">
        <v>640</v>
      </c>
      <c r="F293" s="79"/>
      <c r="G293" s="76"/>
      <c r="H293" s="78"/>
    </row>
    <row r="294" spans="2:8" x14ac:dyDescent="0.3">
      <c r="B294" s="122">
        <v>45804</v>
      </c>
      <c r="C294" s="74">
        <v>18</v>
      </c>
      <c r="D294" s="30" t="s">
        <v>148</v>
      </c>
      <c r="E294" s="2" t="s">
        <v>227</v>
      </c>
      <c r="F294" s="79"/>
      <c r="G294" s="76"/>
      <c r="H294" s="78"/>
    </row>
    <row r="295" spans="2:8" x14ac:dyDescent="0.3">
      <c r="B295" s="122">
        <v>45804</v>
      </c>
      <c r="C295" s="74">
        <v>18</v>
      </c>
      <c r="D295" s="30" t="s">
        <v>148</v>
      </c>
      <c r="E295" t="s">
        <v>601</v>
      </c>
      <c r="F295" s="79"/>
      <c r="G295" s="76"/>
      <c r="H295" s="78"/>
    </row>
    <row r="296" spans="2:8" x14ac:dyDescent="0.3">
      <c r="B296" s="122">
        <v>45804</v>
      </c>
      <c r="C296" s="74">
        <v>18</v>
      </c>
      <c r="D296" s="30" t="s">
        <v>148</v>
      </c>
      <c r="E296" t="s">
        <v>598</v>
      </c>
      <c r="F296" s="79"/>
      <c r="G296" s="76"/>
      <c r="H296" s="78"/>
    </row>
    <row r="297" spans="2:8" x14ac:dyDescent="0.3">
      <c r="B297" s="122">
        <v>45804</v>
      </c>
      <c r="C297" s="74">
        <v>18</v>
      </c>
      <c r="D297" s="30" t="s">
        <v>148</v>
      </c>
      <c r="E297" s="2" t="s">
        <v>639</v>
      </c>
      <c r="F297" s="79"/>
      <c r="G297" s="76"/>
      <c r="H297" s="78"/>
    </row>
    <row r="298" spans="2:8" x14ac:dyDescent="0.3">
      <c r="B298" s="122">
        <v>45804</v>
      </c>
      <c r="C298" s="74">
        <v>18</v>
      </c>
      <c r="D298" s="30" t="s">
        <v>148</v>
      </c>
      <c r="E298" t="s">
        <v>638</v>
      </c>
      <c r="F298" s="79"/>
      <c r="G298" s="76"/>
      <c r="H298" s="78"/>
    </row>
    <row r="299" spans="2:8" x14ac:dyDescent="0.3">
      <c r="B299" s="122">
        <v>45804</v>
      </c>
      <c r="C299" s="74">
        <v>27</v>
      </c>
      <c r="D299" s="30" t="s">
        <v>148</v>
      </c>
      <c r="E299" s="2" t="s">
        <v>724</v>
      </c>
      <c r="F299" s="79"/>
      <c r="G299" s="76"/>
      <c r="H299" s="78"/>
    </row>
    <row r="300" spans="2:8" x14ac:dyDescent="0.3">
      <c r="B300" s="122">
        <v>45804</v>
      </c>
      <c r="C300" s="74">
        <v>27</v>
      </c>
      <c r="D300" s="30" t="s">
        <v>148</v>
      </c>
      <c r="E300" t="s">
        <v>305</v>
      </c>
      <c r="F300" s="79"/>
      <c r="G300" s="76"/>
      <c r="H300" s="78"/>
    </row>
    <row r="301" spans="2:8" x14ac:dyDescent="0.3">
      <c r="B301" s="122">
        <v>45804</v>
      </c>
      <c r="C301" s="74">
        <v>117.6</v>
      </c>
      <c r="D301" s="30" t="s">
        <v>148</v>
      </c>
      <c r="E301" t="s">
        <v>359</v>
      </c>
      <c r="F301" s="79"/>
      <c r="G301" s="76"/>
      <c r="H301" s="78"/>
    </row>
    <row r="302" spans="2:8" x14ac:dyDescent="0.3">
      <c r="B302" s="122">
        <v>45804</v>
      </c>
      <c r="C302" s="74">
        <v>18</v>
      </c>
      <c r="D302" s="30" t="s">
        <v>148</v>
      </c>
      <c r="E302" t="s">
        <v>611</v>
      </c>
      <c r="F302" s="79"/>
      <c r="G302" s="76"/>
      <c r="H302" s="78"/>
    </row>
    <row r="303" spans="2:8" x14ac:dyDescent="0.3">
      <c r="B303" s="122">
        <v>45804</v>
      </c>
      <c r="C303" s="74">
        <v>18</v>
      </c>
      <c r="D303" s="30" t="s">
        <v>148</v>
      </c>
      <c r="E303" s="2" t="s">
        <v>606</v>
      </c>
      <c r="F303" s="79"/>
      <c r="G303" s="76"/>
      <c r="H303" s="78"/>
    </row>
    <row r="304" spans="2:8" x14ac:dyDescent="0.3">
      <c r="B304" s="122">
        <v>45805</v>
      </c>
      <c r="C304" s="74">
        <v>18</v>
      </c>
      <c r="D304" s="30" t="s">
        <v>148</v>
      </c>
      <c r="E304" s="2" t="s">
        <v>328</v>
      </c>
      <c r="F304" s="79"/>
      <c r="G304" s="76"/>
      <c r="H304" s="78"/>
    </row>
    <row r="305" spans="1:10" x14ac:dyDescent="0.3">
      <c r="B305" s="122">
        <v>45806</v>
      </c>
      <c r="C305" s="74">
        <v>18</v>
      </c>
      <c r="D305" s="30" t="s">
        <v>148</v>
      </c>
      <c r="E305" s="2" t="s">
        <v>614</v>
      </c>
      <c r="F305" s="79"/>
      <c r="G305" s="76"/>
      <c r="H305" s="78"/>
    </row>
    <row r="306" spans="1:10" x14ac:dyDescent="0.3">
      <c r="B306" s="122">
        <v>45807</v>
      </c>
      <c r="C306" s="74">
        <v>10</v>
      </c>
      <c r="D306" s="30" t="s">
        <v>148</v>
      </c>
      <c r="E306" t="s">
        <v>368</v>
      </c>
      <c r="F306" s="79"/>
      <c r="G306" s="76"/>
      <c r="H306" s="78"/>
    </row>
    <row r="307" spans="1:10" x14ac:dyDescent="0.3">
      <c r="C307" s="74"/>
      <c r="E307" s="2"/>
      <c r="F307" s="79"/>
      <c r="G307" s="76"/>
      <c r="H307" s="78"/>
    </row>
    <row r="308" spans="1:10" x14ac:dyDescent="0.3">
      <c r="C308" s="120">
        <f>SUM(C276:C307)</f>
        <v>658.6</v>
      </c>
      <c r="F308" s="77"/>
      <c r="G308" s="120">
        <f>SUM(G276:G307)</f>
        <v>1257.06</v>
      </c>
      <c r="H308" s="78"/>
    </row>
    <row r="309" spans="1:10" x14ac:dyDescent="0.3">
      <c r="B309" s="162">
        <v>45809</v>
      </c>
      <c r="C309" s="162"/>
      <c r="D309" s="162"/>
      <c r="E309" s="162"/>
      <c r="F309" s="164">
        <v>45809</v>
      </c>
      <c r="G309" s="164"/>
      <c r="H309" s="164"/>
      <c r="I309" s="164"/>
      <c r="J309" s="118">
        <f>J275+C308-G308</f>
        <v>25216.669999999995</v>
      </c>
    </row>
    <row r="310" spans="1:10" x14ac:dyDescent="0.3">
      <c r="A310" s="145"/>
      <c r="B310" s="122">
        <v>45824</v>
      </c>
      <c r="C310" s="74">
        <v>20</v>
      </c>
      <c r="D310" s="30" t="s">
        <v>148</v>
      </c>
      <c r="E310" t="s">
        <v>362</v>
      </c>
      <c r="F310" s="77">
        <v>45813</v>
      </c>
      <c r="G310" s="76">
        <v>85</v>
      </c>
      <c r="H310" s="78" t="s">
        <v>247</v>
      </c>
      <c r="I310" t="s">
        <v>654</v>
      </c>
    </row>
    <row r="311" spans="1:10" x14ac:dyDescent="0.3">
      <c r="A311" s="145"/>
      <c r="B311" s="122">
        <v>45824</v>
      </c>
      <c r="C311" s="74">
        <v>60</v>
      </c>
      <c r="D311" s="30" t="s">
        <v>148</v>
      </c>
      <c r="E311" s="2" t="s">
        <v>184</v>
      </c>
      <c r="F311" s="77">
        <v>45813</v>
      </c>
      <c r="G311" s="76">
        <v>100</v>
      </c>
      <c r="H311" s="78" t="s">
        <v>247</v>
      </c>
      <c r="I311" t="s">
        <v>360</v>
      </c>
    </row>
    <row r="312" spans="1:10" x14ac:dyDescent="0.3">
      <c r="A312" s="145"/>
      <c r="B312" s="122">
        <v>45824</v>
      </c>
      <c r="C312" s="74">
        <v>15</v>
      </c>
      <c r="D312" s="30" t="s">
        <v>148</v>
      </c>
      <c r="E312" s="2" t="s">
        <v>565</v>
      </c>
      <c r="F312" s="77">
        <v>45813</v>
      </c>
      <c r="G312" s="76">
        <v>11</v>
      </c>
      <c r="H312" s="78" t="s">
        <v>247</v>
      </c>
      <c r="I312" t="s">
        <v>655</v>
      </c>
    </row>
    <row r="313" spans="1:10" x14ac:dyDescent="0.3">
      <c r="A313" s="145"/>
      <c r="B313" s="122">
        <v>45825</v>
      </c>
      <c r="C313" s="74">
        <v>15</v>
      </c>
      <c r="D313" s="30" t="s">
        <v>151</v>
      </c>
      <c r="E313" s="2" t="s">
        <v>184</v>
      </c>
      <c r="F313" s="77">
        <v>45825</v>
      </c>
      <c r="G313" s="76">
        <v>4.25</v>
      </c>
      <c r="H313" s="78" t="s">
        <v>351</v>
      </c>
      <c r="I313" t="s">
        <v>651</v>
      </c>
    </row>
    <row r="314" spans="1:10" x14ac:dyDescent="0.3">
      <c r="B314" s="122">
        <v>45826</v>
      </c>
      <c r="C314" s="74">
        <v>817</v>
      </c>
      <c r="D314" s="30" t="s">
        <v>148</v>
      </c>
      <c r="E314" t="s">
        <v>363</v>
      </c>
      <c r="F314" s="77">
        <v>45831</v>
      </c>
      <c r="G314" s="76">
        <v>50</v>
      </c>
      <c r="H314" s="78" t="s">
        <v>247</v>
      </c>
      <c r="I314" t="s">
        <v>656</v>
      </c>
    </row>
    <row r="315" spans="1:10" x14ac:dyDescent="0.3">
      <c r="B315" s="122">
        <v>45827</v>
      </c>
      <c r="C315" s="74">
        <v>4590</v>
      </c>
      <c r="D315" s="30" t="s">
        <v>148</v>
      </c>
      <c r="E315" t="s">
        <v>364</v>
      </c>
      <c r="F315" s="77">
        <v>45831</v>
      </c>
      <c r="G315" s="76">
        <v>50</v>
      </c>
      <c r="H315" s="78" t="s">
        <v>247</v>
      </c>
      <c r="I315" t="s">
        <v>657</v>
      </c>
    </row>
    <row r="316" spans="1:10" x14ac:dyDescent="0.3">
      <c r="B316" s="122">
        <v>45828</v>
      </c>
      <c r="C316" s="74">
        <v>100</v>
      </c>
      <c r="D316" s="30" t="s">
        <v>148</v>
      </c>
      <c r="E316" t="s">
        <v>365</v>
      </c>
      <c r="F316" s="77">
        <v>45838</v>
      </c>
      <c r="G316" s="76">
        <v>36</v>
      </c>
      <c r="H316" s="78" t="s">
        <v>247</v>
      </c>
      <c r="I316" t="s">
        <v>366</v>
      </c>
    </row>
    <row r="317" spans="1:10" x14ac:dyDescent="0.3">
      <c r="B317" s="122">
        <v>45831</v>
      </c>
      <c r="C317" s="74">
        <v>27</v>
      </c>
      <c r="D317" s="30" t="s">
        <v>148</v>
      </c>
      <c r="E317" t="s">
        <v>685</v>
      </c>
      <c r="F317" s="77"/>
      <c r="G317" s="76"/>
      <c r="H317" s="78"/>
    </row>
    <row r="318" spans="1:10" x14ac:dyDescent="0.3">
      <c r="B318" s="122">
        <v>45831</v>
      </c>
      <c r="C318" s="74">
        <v>18</v>
      </c>
      <c r="D318" s="30" t="s">
        <v>148</v>
      </c>
      <c r="E318" t="s">
        <v>599</v>
      </c>
      <c r="F318" s="77"/>
      <c r="G318" s="76"/>
      <c r="H318" s="78"/>
    </row>
    <row r="319" spans="1:10" x14ac:dyDescent="0.3">
      <c r="B319" s="122">
        <v>45831</v>
      </c>
      <c r="C319" s="74">
        <v>18</v>
      </c>
      <c r="D319" s="30" t="s">
        <v>148</v>
      </c>
      <c r="E319" t="s">
        <v>604</v>
      </c>
      <c r="F319" s="77"/>
      <c r="G319" s="76"/>
      <c r="H319" s="78"/>
    </row>
    <row r="320" spans="1:10" x14ac:dyDescent="0.3">
      <c r="B320" s="122">
        <v>45831</v>
      </c>
      <c r="C320" s="74">
        <v>18</v>
      </c>
      <c r="D320" s="30" t="s">
        <v>148</v>
      </c>
      <c r="E320" s="2" t="s">
        <v>339</v>
      </c>
      <c r="F320" s="77"/>
      <c r="G320" s="76"/>
      <c r="H320" s="78"/>
    </row>
    <row r="321" spans="1:10" x14ac:dyDescent="0.3">
      <c r="B321" s="122">
        <v>45831</v>
      </c>
      <c r="C321" s="74">
        <v>18</v>
      </c>
      <c r="D321" s="30" t="s">
        <v>148</v>
      </c>
      <c r="E321" t="s">
        <v>631</v>
      </c>
      <c r="F321" s="77"/>
      <c r="G321" s="76"/>
      <c r="H321" s="78"/>
    </row>
    <row r="322" spans="1:10" x14ac:dyDescent="0.3">
      <c r="B322" s="122">
        <v>45831</v>
      </c>
      <c r="C322" s="74">
        <v>9</v>
      </c>
      <c r="D322" s="30" t="s">
        <v>148</v>
      </c>
      <c r="E322" t="s">
        <v>739</v>
      </c>
      <c r="F322" s="77"/>
      <c r="G322" s="76"/>
      <c r="H322" s="78"/>
    </row>
    <row r="323" spans="1:10" x14ac:dyDescent="0.3">
      <c r="B323" s="122">
        <v>45831</v>
      </c>
      <c r="C323" s="74">
        <v>18</v>
      </c>
      <c r="D323" s="30" t="s">
        <v>148</v>
      </c>
      <c r="E323" t="s">
        <v>367</v>
      </c>
      <c r="F323" s="77"/>
      <c r="G323" s="76"/>
      <c r="H323" s="78"/>
    </row>
    <row r="324" spans="1:10" x14ac:dyDescent="0.3">
      <c r="B324" s="122">
        <v>45831</v>
      </c>
      <c r="C324" s="74">
        <v>18</v>
      </c>
      <c r="D324" s="30" t="s">
        <v>148</v>
      </c>
      <c r="E324" t="s">
        <v>314</v>
      </c>
      <c r="F324" s="77"/>
      <c r="G324" s="76"/>
      <c r="H324" s="78"/>
    </row>
    <row r="325" spans="1:10" x14ac:dyDescent="0.3">
      <c r="B325" s="122">
        <v>45831</v>
      </c>
      <c r="C325" s="74">
        <v>27</v>
      </c>
      <c r="D325" s="30" t="s">
        <v>210</v>
      </c>
      <c r="E325" s="2" t="s">
        <v>641</v>
      </c>
      <c r="F325" s="77"/>
      <c r="G325" s="76"/>
      <c r="H325" s="78"/>
    </row>
    <row r="326" spans="1:10" x14ac:dyDescent="0.3">
      <c r="B326" s="122">
        <v>45835</v>
      </c>
      <c r="C326" s="74">
        <v>18</v>
      </c>
      <c r="D326" s="30" t="s">
        <v>148</v>
      </c>
      <c r="E326" t="s">
        <v>608</v>
      </c>
      <c r="F326" s="77"/>
      <c r="G326" s="76"/>
      <c r="H326" s="78"/>
    </row>
    <row r="327" spans="1:10" x14ac:dyDescent="0.3">
      <c r="B327" s="122">
        <v>45838</v>
      </c>
      <c r="C327" s="74">
        <v>18</v>
      </c>
      <c r="D327" s="30" t="s">
        <v>148</v>
      </c>
      <c r="E327" t="s">
        <v>621</v>
      </c>
      <c r="F327" s="77"/>
      <c r="G327" s="76"/>
      <c r="H327" s="78"/>
    </row>
    <row r="328" spans="1:10" x14ac:dyDescent="0.3">
      <c r="B328" s="122">
        <v>45838</v>
      </c>
      <c r="C328" s="74">
        <v>5</v>
      </c>
      <c r="D328" s="30" t="s">
        <v>148</v>
      </c>
      <c r="E328" t="s">
        <v>368</v>
      </c>
      <c r="F328" s="77"/>
      <c r="G328" s="76"/>
      <c r="H328" s="78"/>
    </row>
    <row r="329" spans="1:10" x14ac:dyDescent="0.3">
      <c r="B329" s="122">
        <v>45838</v>
      </c>
      <c r="C329" s="74">
        <v>36</v>
      </c>
      <c r="D329" s="30" t="s">
        <v>148</v>
      </c>
      <c r="E329" s="2" t="s">
        <v>369</v>
      </c>
      <c r="F329" s="77"/>
      <c r="G329" s="76"/>
      <c r="H329" s="78"/>
    </row>
    <row r="330" spans="1:10" x14ac:dyDescent="0.3">
      <c r="A330" s="145"/>
      <c r="B330" s="122">
        <v>45838</v>
      </c>
      <c r="C330" s="74">
        <v>160</v>
      </c>
      <c r="D330" s="30" t="s">
        <v>148</v>
      </c>
      <c r="E330" s="2" t="s">
        <v>370</v>
      </c>
      <c r="F330" s="77"/>
      <c r="G330" s="76"/>
      <c r="H330" s="78"/>
    </row>
    <row r="331" spans="1:10" x14ac:dyDescent="0.3">
      <c r="B331" s="122">
        <v>45838</v>
      </c>
      <c r="C331" s="74">
        <v>54</v>
      </c>
      <c r="D331" s="30" t="s">
        <v>148</v>
      </c>
      <c r="E331" s="2" t="s">
        <v>636</v>
      </c>
      <c r="H331" s="78"/>
    </row>
    <row r="332" spans="1:10" x14ac:dyDescent="0.3">
      <c r="C332" s="74"/>
    </row>
    <row r="333" spans="1:10" x14ac:dyDescent="0.3">
      <c r="C333" s="74"/>
    </row>
    <row r="334" spans="1:10" x14ac:dyDescent="0.3">
      <c r="C334" s="120">
        <f>SUM(C310:C333)</f>
        <v>6079</v>
      </c>
      <c r="G334" s="120">
        <f>SUM(G310:G333)</f>
        <v>336.25</v>
      </c>
    </row>
    <row r="335" spans="1:10" x14ac:dyDescent="0.3">
      <c r="B335" s="162">
        <v>45839</v>
      </c>
      <c r="C335" s="162"/>
      <c r="D335" s="162"/>
      <c r="E335" s="162"/>
      <c r="F335" s="164">
        <v>45839</v>
      </c>
      <c r="G335" s="164"/>
      <c r="H335" s="164"/>
      <c r="I335" s="164"/>
      <c r="J335" s="118">
        <f>J309+C334-G334</f>
        <v>30959.419999999995</v>
      </c>
    </row>
    <row r="336" spans="1:10" x14ac:dyDescent="0.3">
      <c r="B336" s="122">
        <v>45839</v>
      </c>
      <c r="C336" s="74">
        <v>200</v>
      </c>
      <c r="D336" s="30" t="s">
        <v>148</v>
      </c>
      <c r="E336" t="s">
        <v>251</v>
      </c>
      <c r="F336" s="77">
        <v>45841</v>
      </c>
      <c r="G336" s="76">
        <v>340</v>
      </c>
      <c r="H336" s="78" t="s">
        <v>247</v>
      </c>
      <c r="I336" t="s">
        <v>658</v>
      </c>
    </row>
    <row r="337" spans="2:10" x14ac:dyDescent="0.3">
      <c r="B337" s="122">
        <v>45842</v>
      </c>
      <c r="C337" s="74">
        <v>80</v>
      </c>
      <c r="D337" s="30" t="s">
        <v>148</v>
      </c>
      <c r="E337" t="s">
        <v>371</v>
      </c>
      <c r="F337" s="77">
        <v>45841</v>
      </c>
      <c r="G337" s="76">
        <v>340</v>
      </c>
      <c r="H337" s="78" t="s">
        <v>247</v>
      </c>
      <c r="I337" t="s">
        <v>236</v>
      </c>
    </row>
    <row r="338" spans="2:10" x14ac:dyDescent="0.3">
      <c r="B338" s="122">
        <v>45845</v>
      </c>
      <c r="C338" s="74">
        <v>7177.7</v>
      </c>
      <c r="D338" s="30" t="s">
        <v>148</v>
      </c>
      <c r="E338" t="s">
        <v>372</v>
      </c>
      <c r="F338" s="77">
        <v>45841</v>
      </c>
      <c r="G338" s="76">
        <v>340</v>
      </c>
      <c r="H338" s="78" t="s">
        <v>247</v>
      </c>
      <c r="I338" t="s">
        <v>340</v>
      </c>
    </row>
    <row r="339" spans="2:10" x14ac:dyDescent="0.3">
      <c r="B339" s="122">
        <v>45845</v>
      </c>
      <c r="C339" s="74">
        <v>20</v>
      </c>
      <c r="D339" s="30" t="s">
        <v>148</v>
      </c>
      <c r="E339" t="s">
        <v>373</v>
      </c>
      <c r="F339" s="77">
        <v>45841</v>
      </c>
      <c r="G339" s="76">
        <v>403.75</v>
      </c>
      <c r="H339" s="78" t="s">
        <v>247</v>
      </c>
      <c r="I339" t="s">
        <v>237</v>
      </c>
    </row>
    <row r="340" spans="2:10" x14ac:dyDescent="0.3">
      <c r="B340" s="122">
        <v>45847</v>
      </c>
      <c r="C340" s="74">
        <v>30</v>
      </c>
      <c r="D340" s="30" t="s">
        <v>148</v>
      </c>
      <c r="E340" s="2" t="s">
        <v>374</v>
      </c>
      <c r="F340" s="77">
        <v>45841</v>
      </c>
      <c r="G340" s="76">
        <v>403.75</v>
      </c>
      <c r="H340" s="78" t="s">
        <v>247</v>
      </c>
      <c r="I340" t="s">
        <v>326</v>
      </c>
    </row>
    <row r="341" spans="2:10" x14ac:dyDescent="0.3">
      <c r="B341" s="122">
        <v>45853</v>
      </c>
      <c r="C341" s="74">
        <v>275.39999999999998</v>
      </c>
      <c r="D341" s="30" t="s">
        <v>148</v>
      </c>
      <c r="E341" t="s">
        <v>372</v>
      </c>
      <c r="F341" s="77">
        <v>45842</v>
      </c>
      <c r="G341" s="76">
        <v>76.63</v>
      </c>
      <c r="H341" s="78" t="s">
        <v>247</v>
      </c>
      <c r="I341" t="s">
        <v>590</v>
      </c>
      <c r="J341" s="134"/>
    </row>
    <row r="342" spans="2:10" x14ac:dyDescent="0.3">
      <c r="B342" s="122">
        <v>45854</v>
      </c>
      <c r="C342" s="74">
        <v>396.01</v>
      </c>
      <c r="D342" s="30" t="s">
        <v>386</v>
      </c>
      <c r="E342" s="2" t="s">
        <v>387</v>
      </c>
      <c r="F342" s="77">
        <v>45842</v>
      </c>
      <c r="G342" s="76">
        <v>21.03</v>
      </c>
      <c r="H342" s="78" t="s">
        <v>247</v>
      </c>
      <c r="I342" t="s">
        <v>589</v>
      </c>
    </row>
    <row r="343" spans="2:10" x14ac:dyDescent="0.3">
      <c r="B343" s="122">
        <v>45854</v>
      </c>
      <c r="C343" s="74">
        <v>392.12</v>
      </c>
      <c r="D343" s="30">
        <v>500151</v>
      </c>
      <c r="E343" s="2" t="s">
        <v>388</v>
      </c>
      <c r="F343" s="77">
        <v>45852</v>
      </c>
      <c r="G343" s="76">
        <v>666.4</v>
      </c>
      <c r="H343" s="86" t="s">
        <v>247</v>
      </c>
      <c r="I343" t="s">
        <v>238</v>
      </c>
    </row>
    <row r="344" spans="2:10" x14ac:dyDescent="0.3">
      <c r="B344" s="122">
        <v>45854</v>
      </c>
      <c r="C344" s="74">
        <v>72</v>
      </c>
      <c r="D344" s="30">
        <v>500152</v>
      </c>
      <c r="E344" s="2" t="s">
        <v>389</v>
      </c>
      <c r="F344" s="77">
        <v>45852</v>
      </c>
      <c r="G344" s="76">
        <v>640</v>
      </c>
      <c r="H344" s="86" t="s">
        <v>247</v>
      </c>
      <c r="I344" t="s">
        <v>239</v>
      </c>
    </row>
    <row r="345" spans="2:10" x14ac:dyDescent="0.3">
      <c r="B345" s="122">
        <v>45854</v>
      </c>
      <c r="C345" s="74">
        <v>319.52</v>
      </c>
      <c r="D345" s="30">
        <v>500153</v>
      </c>
      <c r="E345" s="2" t="s">
        <v>391</v>
      </c>
      <c r="F345" s="77">
        <v>45852</v>
      </c>
      <c r="G345" s="76">
        <v>640</v>
      </c>
      <c r="H345" s="86" t="s">
        <v>247</v>
      </c>
      <c r="I345" t="s">
        <v>375</v>
      </c>
    </row>
    <row r="346" spans="2:10" x14ac:dyDescent="0.3">
      <c r="B346" s="122">
        <v>45854</v>
      </c>
      <c r="C346" s="74">
        <v>465.69</v>
      </c>
      <c r="D346" s="30">
        <v>500154</v>
      </c>
      <c r="E346" s="2" t="s">
        <v>392</v>
      </c>
      <c r="F346" s="77">
        <v>45852</v>
      </c>
      <c r="G346" s="76">
        <v>640</v>
      </c>
      <c r="H346" s="86" t="s">
        <v>247</v>
      </c>
      <c r="I346" t="s">
        <v>376</v>
      </c>
    </row>
    <row r="347" spans="2:10" x14ac:dyDescent="0.3">
      <c r="B347" s="122">
        <v>45854</v>
      </c>
      <c r="C347" s="74">
        <v>27</v>
      </c>
      <c r="D347" s="30">
        <v>500155</v>
      </c>
      <c r="E347" s="2" t="s">
        <v>390</v>
      </c>
      <c r="F347" s="77">
        <v>45852</v>
      </c>
      <c r="G347" s="76">
        <v>697.6</v>
      </c>
      <c r="H347" s="86" t="s">
        <v>247</v>
      </c>
      <c r="I347" t="s">
        <v>254</v>
      </c>
    </row>
    <row r="348" spans="2:10" x14ac:dyDescent="0.3">
      <c r="B348" s="122">
        <v>45854</v>
      </c>
      <c r="C348" s="74">
        <v>889.68</v>
      </c>
      <c r="D348" s="30">
        <v>500156</v>
      </c>
      <c r="E348" s="2" t="s">
        <v>393</v>
      </c>
      <c r="F348" s="77">
        <v>45852</v>
      </c>
      <c r="G348" s="76">
        <v>640</v>
      </c>
      <c r="H348" s="86" t="s">
        <v>247</v>
      </c>
      <c r="I348" t="s">
        <v>253</v>
      </c>
    </row>
    <row r="349" spans="2:10" x14ac:dyDescent="0.3">
      <c r="B349" s="122">
        <v>45854</v>
      </c>
      <c r="C349" s="74">
        <v>70</v>
      </c>
      <c r="D349" s="30">
        <v>500157</v>
      </c>
      <c r="E349" s="2" t="s">
        <v>587</v>
      </c>
      <c r="F349" s="77">
        <v>45852</v>
      </c>
      <c r="G349" s="76">
        <v>640</v>
      </c>
      <c r="H349" s="86" t="s">
        <v>247</v>
      </c>
      <c r="I349" t="s">
        <v>377</v>
      </c>
    </row>
    <row r="350" spans="2:10" x14ac:dyDescent="0.3">
      <c r="B350" s="122">
        <v>45855</v>
      </c>
      <c r="C350" s="74">
        <v>15</v>
      </c>
      <c r="D350" s="30" t="s">
        <v>151</v>
      </c>
      <c r="E350" t="s">
        <v>179</v>
      </c>
      <c r="F350" s="77">
        <v>45852</v>
      </c>
      <c r="G350" s="76">
        <v>661.6</v>
      </c>
      <c r="H350" s="86" t="s">
        <v>247</v>
      </c>
      <c r="I350" t="s">
        <v>378</v>
      </c>
    </row>
    <row r="351" spans="2:10" x14ac:dyDescent="0.3">
      <c r="B351" s="122">
        <v>45859</v>
      </c>
      <c r="C351" s="74">
        <v>1</v>
      </c>
      <c r="D351" s="30" t="s">
        <v>148</v>
      </c>
      <c r="E351" s="2" t="s">
        <v>588</v>
      </c>
      <c r="F351" s="77">
        <v>45852</v>
      </c>
      <c r="G351" s="76">
        <v>665.2</v>
      </c>
      <c r="H351" s="86" t="s">
        <v>247</v>
      </c>
      <c r="I351" t="s">
        <v>255</v>
      </c>
    </row>
    <row r="352" spans="2:10" x14ac:dyDescent="0.3">
      <c r="B352" s="122">
        <v>45859</v>
      </c>
      <c r="C352" s="74">
        <v>1463.25</v>
      </c>
      <c r="D352" s="30" t="s">
        <v>148</v>
      </c>
      <c r="E352" s="2" t="s">
        <v>588</v>
      </c>
      <c r="F352" s="77">
        <v>45852</v>
      </c>
      <c r="G352" s="76">
        <v>450</v>
      </c>
      <c r="H352" s="86" t="s">
        <v>247</v>
      </c>
      <c r="I352" t="s">
        <v>252</v>
      </c>
    </row>
    <row r="353" spans="2:10" x14ac:dyDescent="0.3">
      <c r="C353" s="74"/>
      <c r="E353" s="2"/>
      <c r="F353" s="77">
        <v>45852</v>
      </c>
      <c r="G353" s="76">
        <v>450</v>
      </c>
      <c r="H353" s="86" t="s">
        <v>247</v>
      </c>
      <c r="I353" t="s">
        <v>296</v>
      </c>
    </row>
    <row r="354" spans="2:10" x14ac:dyDescent="0.3">
      <c r="C354" s="136"/>
      <c r="F354" s="77">
        <v>45852</v>
      </c>
      <c r="G354" s="76">
        <v>450</v>
      </c>
      <c r="H354" s="86" t="s">
        <v>247</v>
      </c>
      <c r="I354" t="s">
        <v>379</v>
      </c>
    </row>
    <row r="355" spans="2:10" x14ac:dyDescent="0.3">
      <c r="C355" s="136"/>
      <c r="F355" s="77">
        <v>45852</v>
      </c>
      <c r="G355" s="76">
        <v>85</v>
      </c>
      <c r="H355" s="86" t="s">
        <v>247</v>
      </c>
      <c r="I355" t="s">
        <v>380</v>
      </c>
    </row>
    <row r="356" spans="2:10" x14ac:dyDescent="0.3">
      <c r="C356" s="136"/>
      <c r="F356" s="77">
        <v>45852</v>
      </c>
      <c r="G356" s="76">
        <v>85</v>
      </c>
      <c r="H356" s="86" t="s">
        <v>247</v>
      </c>
      <c r="I356" t="s">
        <v>381</v>
      </c>
    </row>
    <row r="357" spans="2:10" x14ac:dyDescent="0.3">
      <c r="C357" s="136"/>
      <c r="F357" s="77">
        <v>45852</v>
      </c>
      <c r="G357" s="76">
        <v>400</v>
      </c>
      <c r="H357" s="86" t="s">
        <v>247</v>
      </c>
      <c r="I357" t="s">
        <v>256</v>
      </c>
    </row>
    <row r="358" spans="2:10" x14ac:dyDescent="0.3">
      <c r="C358" s="136"/>
      <c r="F358" s="77">
        <v>45852</v>
      </c>
      <c r="G358" s="76">
        <v>85</v>
      </c>
      <c r="H358" s="86" t="s">
        <v>247</v>
      </c>
      <c r="I358" t="s">
        <v>382</v>
      </c>
    </row>
    <row r="359" spans="2:10" x14ac:dyDescent="0.3">
      <c r="C359" s="136"/>
      <c r="F359" s="77">
        <v>45852</v>
      </c>
      <c r="G359" s="76">
        <v>180</v>
      </c>
      <c r="H359" s="86" t="s">
        <v>247</v>
      </c>
      <c r="I359" t="s">
        <v>383</v>
      </c>
    </row>
    <row r="360" spans="2:10" x14ac:dyDescent="0.3">
      <c r="C360" s="136"/>
      <c r="F360" s="77">
        <v>45852</v>
      </c>
      <c r="G360" s="76">
        <v>50</v>
      </c>
      <c r="H360" s="86" t="s">
        <v>247</v>
      </c>
      <c r="I360" t="s">
        <v>384</v>
      </c>
    </row>
    <row r="361" spans="2:10" x14ac:dyDescent="0.3">
      <c r="C361" s="136"/>
      <c r="F361" s="77">
        <v>45852</v>
      </c>
      <c r="G361" s="76">
        <v>250</v>
      </c>
      <c r="H361" s="86" t="s">
        <v>247</v>
      </c>
      <c r="I361" t="s">
        <v>659</v>
      </c>
    </row>
    <row r="362" spans="2:10" x14ac:dyDescent="0.3">
      <c r="C362" s="136"/>
      <c r="F362" s="77">
        <v>45852</v>
      </c>
      <c r="G362" s="76">
        <v>173.44</v>
      </c>
      <c r="H362" s="86" t="s">
        <v>247</v>
      </c>
      <c r="I362" t="s">
        <v>385</v>
      </c>
    </row>
    <row r="363" spans="2:10" x14ac:dyDescent="0.3">
      <c r="C363" s="136"/>
      <c r="F363" s="77">
        <v>45856</v>
      </c>
      <c r="G363" s="76">
        <v>4.25</v>
      </c>
      <c r="H363" s="78" t="s">
        <v>351</v>
      </c>
      <c r="I363" t="s">
        <v>651</v>
      </c>
    </row>
    <row r="364" spans="2:10" x14ac:dyDescent="0.3">
      <c r="C364" s="136"/>
      <c r="G364" s="76"/>
    </row>
    <row r="365" spans="2:10" x14ac:dyDescent="0.3">
      <c r="C365" s="136"/>
      <c r="G365" s="76"/>
    </row>
    <row r="366" spans="2:10" x14ac:dyDescent="0.3">
      <c r="C366" s="74"/>
    </row>
    <row r="367" spans="2:10" x14ac:dyDescent="0.3">
      <c r="C367" s="120">
        <f>SUM(C336:C366)</f>
        <v>11894.37</v>
      </c>
      <c r="G367" s="120">
        <f>SUM(G336:G366)</f>
        <v>10478.65</v>
      </c>
    </row>
    <row r="368" spans="2:10" x14ac:dyDescent="0.3">
      <c r="B368" s="162">
        <v>45870</v>
      </c>
      <c r="C368" s="162"/>
      <c r="D368" s="162"/>
      <c r="E368" s="162"/>
      <c r="F368" s="164">
        <v>45870</v>
      </c>
      <c r="G368" s="164"/>
      <c r="H368" s="164"/>
      <c r="I368" s="164"/>
      <c r="J368" s="118">
        <f>J335+C367-G367</f>
        <v>32375.139999999992</v>
      </c>
    </row>
    <row r="369" spans="2:10" x14ac:dyDescent="0.3">
      <c r="B369" s="122">
        <v>45887</v>
      </c>
      <c r="C369" s="74">
        <v>15</v>
      </c>
      <c r="D369" s="30" t="s">
        <v>151</v>
      </c>
      <c r="E369" t="s">
        <v>179</v>
      </c>
      <c r="F369" s="77">
        <v>45887</v>
      </c>
      <c r="G369" s="76">
        <v>4.25</v>
      </c>
      <c r="H369" s="78" t="s">
        <v>351</v>
      </c>
      <c r="I369" t="s">
        <v>651</v>
      </c>
    </row>
    <row r="370" spans="2:10" x14ac:dyDescent="0.3">
      <c r="B370" s="122">
        <v>45887</v>
      </c>
      <c r="C370" s="74">
        <v>20</v>
      </c>
      <c r="D370" s="30" t="s">
        <v>148</v>
      </c>
      <c r="E370" s="2" t="s">
        <v>644</v>
      </c>
      <c r="F370" s="77"/>
      <c r="G370" s="76"/>
      <c r="H370" s="78"/>
    </row>
    <row r="371" spans="2:10" x14ac:dyDescent="0.3">
      <c r="B371" s="122">
        <v>45890</v>
      </c>
      <c r="C371" s="74">
        <v>18</v>
      </c>
      <c r="D371" s="30" t="s">
        <v>148</v>
      </c>
      <c r="E371" s="159" t="s">
        <v>606</v>
      </c>
      <c r="F371" s="77"/>
      <c r="G371" s="76"/>
      <c r="H371" s="78"/>
    </row>
    <row r="372" spans="2:10" x14ac:dyDescent="0.3">
      <c r="B372" s="122">
        <v>45891</v>
      </c>
      <c r="C372" s="74">
        <v>5</v>
      </c>
      <c r="D372" s="30" t="s">
        <v>148</v>
      </c>
      <c r="E372" t="s">
        <v>643</v>
      </c>
      <c r="F372" s="77"/>
      <c r="G372" s="76"/>
      <c r="H372" s="78"/>
    </row>
    <row r="373" spans="2:10" x14ac:dyDescent="0.3">
      <c r="C373" s="74"/>
      <c r="F373" s="77"/>
      <c r="G373" s="76"/>
      <c r="H373" s="78"/>
    </row>
    <row r="374" spans="2:10" x14ac:dyDescent="0.3">
      <c r="C374" s="74"/>
      <c r="F374" s="77"/>
      <c r="G374" s="76"/>
      <c r="H374" s="78"/>
    </row>
    <row r="375" spans="2:10" x14ac:dyDescent="0.3">
      <c r="C375" s="74"/>
      <c r="E375" s="2"/>
    </row>
    <row r="376" spans="2:10" x14ac:dyDescent="0.3">
      <c r="C376" s="120">
        <f>SUM(C369:C375)</f>
        <v>58</v>
      </c>
      <c r="G376" s="120">
        <f>SUM(G369:G375)</f>
        <v>4.25</v>
      </c>
    </row>
    <row r="377" spans="2:10" x14ac:dyDescent="0.3">
      <c r="B377" s="124"/>
      <c r="C377" s="125"/>
      <c r="D377" s="126"/>
      <c r="E377" s="125"/>
      <c r="F377" s="126"/>
      <c r="G377" s="125"/>
      <c r="H377" s="127"/>
      <c r="I377" s="125"/>
      <c r="J377" s="118">
        <f>J368+C376-G376</f>
        <v>32428.889999999992</v>
      </c>
    </row>
    <row r="380" spans="2:10" x14ac:dyDescent="0.3">
      <c r="C380" s="121">
        <f>C52+C85+C120+C155+C198+C224+C242+C274+C308+C334+C367+C376</f>
        <v>36508.28</v>
      </c>
      <c r="G380" s="121">
        <f>G52+G85+G120+G155+G198+G224+G242+G274+G308+G334+G367+G376</f>
        <v>27408.42</v>
      </c>
    </row>
    <row r="382" spans="2:10" x14ac:dyDescent="0.3">
      <c r="E382" s="128" t="s">
        <v>694</v>
      </c>
    </row>
    <row r="385" spans="7:9" x14ac:dyDescent="0.3">
      <c r="I385" s="158"/>
    </row>
    <row r="386" spans="7:9" x14ac:dyDescent="0.3">
      <c r="I386" s="16"/>
    </row>
    <row r="388" spans="7:9" x14ac:dyDescent="0.3">
      <c r="G388" s="76"/>
      <c r="H388" s="78"/>
    </row>
    <row r="389" spans="7:9" x14ac:dyDescent="0.3">
      <c r="G389" s="76"/>
      <c r="H389" s="78"/>
    </row>
    <row r="390" spans="7:9" x14ac:dyDescent="0.3">
      <c r="G390" s="76"/>
      <c r="H390" s="78"/>
    </row>
    <row r="391" spans="7:9" x14ac:dyDescent="0.3">
      <c r="G391" s="76"/>
      <c r="H391" s="78"/>
    </row>
    <row r="392" spans="7:9" x14ac:dyDescent="0.3">
      <c r="G392" s="76"/>
      <c r="H392" s="78"/>
    </row>
    <row r="393" spans="7:9" x14ac:dyDescent="0.3">
      <c r="G393" s="76"/>
      <c r="H393" s="78"/>
    </row>
    <row r="394" spans="7:9" x14ac:dyDescent="0.3">
      <c r="G394" s="76"/>
      <c r="H394" s="78"/>
    </row>
    <row r="395" spans="7:9" x14ac:dyDescent="0.3">
      <c r="G395" s="76"/>
      <c r="H395" s="78"/>
    </row>
    <row r="396" spans="7:9" x14ac:dyDescent="0.3">
      <c r="G396" s="76"/>
      <c r="H396" s="78"/>
    </row>
    <row r="397" spans="7:9" x14ac:dyDescent="0.3">
      <c r="G397" s="76"/>
      <c r="H397" s="78"/>
    </row>
    <row r="398" spans="7:9" x14ac:dyDescent="0.3">
      <c r="G398" s="76"/>
      <c r="H398" s="78"/>
    </row>
    <row r="399" spans="7:9" x14ac:dyDescent="0.3">
      <c r="G399" s="76"/>
      <c r="H399" s="78"/>
    </row>
    <row r="400" spans="7:9" x14ac:dyDescent="0.3">
      <c r="G400" s="76"/>
      <c r="H400" s="78"/>
    </row>
    <row r="401" spans="6:8" x14ac:dyDescent="0.3">
      <c r="G401" s="76"/>
      <c r="H401" s="78"/>
    </row>
    <row r="403" spans="6:8" x14ac:dyDescent="0.3">
      <c r="F403" s="77"/>
      <c r="G403" s="76"/>
      <c r="H403" s="78"/>
    </row>
    <row r="404" spans="6:8" x14ac:dyDescent="0.3">
      <c r="F404" s="77"/>
      <c r="G404" s="76"/>
      <c r="H404" s="78"/>
    </row>
    <row r="405" spans="6:8" x14ac:dyDescent="0.3">
      <c r="F405" s="77"/>
      <c r="G405" s="76"/>
      <c r="H405" s="78"/>
    </row>
    <row r="406" spans="6:8" x14ac:dyDescent="0.3">
      <c r="F406" s="77"/>
      <c r="G406" s="76"/>
      <c r="H406" s="78"/>
    </row>
    <row r="407" spans="6:8" x14ac:dyDescent="0.3">
      <c r="F407" s="77"/>
      <c r="G407" s="76"/>
      <c r="H407" s="78"/>
    </row>
    <row r="408" spans="6:8" x14ac:dyDescent="0.3">
      <c r="F408" s="77"/>
      <c r="G408" s="76"/>
      <c r="H408" s="78"/>
    </row>
    <row r="409" spans="6:8" x14ac:dyDescent="0.3">
      <c r="F409" s="77"/>
      <c r="G409" s="76"/>
      <c r="H409" s="78"/>
    </row>
    <row r="410" spans="6:8" x14ac:dyDescent="0.3">
      <c r="F410" s="77"/>
      <c r="G410" s="76"/>
      <c r="H410" s="78"/>
    </row>
    <row r="411" spans="6:8" x14ac:dyDescent="0.3">
      <c r="F411" s="77"/>
      <c r="G411" s="76"/>
      <c r="H411" s="78"/>
    </row>
    <row r="412" spans="6:8" x14ac:dyDescent="0.3">
      <c r="F412" s="77"/>
      <c r="G412" s="76"/>
      <c r="H412" s="78"/>
    </row>
    <row r="413" spans="6:8" x14ac:dyDescent="0.3">
      <c r="F413" s="77"/>
      <c r="G413" s="76"/>
      <c r="H413" s="78"/>
    </row>
    <row r="414" spans="6:8" x14ac:dyDescent="0.3">
      <c r="F414" s="77"/>
      <c r="G414" s="76"/>
      <c r="H414" s="78"/>
    </row>
    <row r="415" spans="6:8" x14ac:dyDescent="0.3">
      <c r="F415" s="77"/>
      <c r="G415" s="76"/>
      <c r="H415" s="78"/>
    </row>
    <row r="416" spans="6:8" x14ac:dyDescent="0.3">
      <c r="F416" s="77"/>
      <c r="G416" s="76"/>
      <c r="H416" s="78"/>
    </row>
    <row r="417" spans="6:8" x14ac:dyDescent="0.3">
      <c r="F417" s="77"/>
      <c r="G417" s="76"/>
      <c r="H417" s="78"/>
    </row>
    <row r="418" spans="6:8" x14ac:dyDescent="0.3">
      <c r="F418" s="77"/>
      <c r="G418" s="76"/>
      <c r="H418" s="78"/>
    </row>
    <row r="419" spans="6:8" x14ac:dyDescent="0.3">
      <c r="F419" s="77"/>
      <c r="G419" s="76"/>
      <c r="H419" s="78"/>
    </row>
    <row r="420" spans="6:8" x14ac:dyDescent="0.3">
      <c r="F420" s="77"/>
      <c r="G420" s="76"/>
      <c r="H420" s="78"/>
    </row>
    <row r="421" spans="6:8" x14ac:dyDescent="0.3">
      <c r="F421" s="77"/>
      <c r="G421" s="76"/>
      <c r="H421" s="78"/>
    </row>
    <row r="422" spans="6:8" x14ac:dyDescent="0.3">
      <c r="F422" s="77"/>
      <c r="G422" s="76"/>
      <c r="H422" s="78"/>
    </row>
    <row r="423" spans="6:8" x14ac:dyDescent="0.3">
      <c r="F423" s="77"/>
      <c r="G423" s="76"/>
      <c r="H423" s="78"/>
    </row>
    <row r="424" spans="6:8" x14ac:dyDescent="0.3">
      <c r="F424" s="77"/>
      <c r="G424" s="76"/>
      <c r="H424" s="78"/>
    </row>
    <row r="425" spans="6:8" x14ac:dyDescent="0.3">
      <c r="F425" s="77"/>
      <c r="G425" s="76"/>
      <c r="H425" s="78"/>
    </row>
  </sheetData>
  <mergeCells count="27">
    <mergeCell ref="B368:E368"/>
    <mergeCell ref="F368:I368"/>
    <mergeCell ref="B121:E121"/>
    <mergeCell ref="B156:E156"/>
    <mergeCell ref="F243:I243"/>
    <mergeCell ref="F275:I275"/>
    <mergeCell ref="F309:I309"/>
    <mergeCell ref="F335:I335"/>
    <mergeCell ref="B335:E335"/>
    <mergeCell ref="B225:E225"/>
    <mergeCell ref="B309:E309"/>
    <mergeCell ref="B275:E275"/>
    <mergeCell ref="B199:E199"/>
    <mergeCell ref="B243:E243"/>
    <mergeCell ref="F121:I121"/>
    <mergeCell ref="F86:I86"/>
    <mergeCell ref="F156:I156"/>
    <mergeCell ref="F199:I199"/>
    <mergeCell ref="F225:I225"/>
    <mergeCell ref="B3:E3"/>
    <mergeCell ref="F3:I3"/>
    <mergeCell ref="B86:E86"/>
    <mergeCell ref="B1:I1"/>
    <mergeCell ref="B53:E53"/>
    <mergeCell ref="B5:E5"/>
    <mergeCell ref="F5:I5"/>
    <mergeCell ref="F53:I53"/>
  </mergeCells>
  <pageMargins left="0.7" right="0.7" top="0.75" bottom="0.75" header="0.3" footer="0.3"/>
  <pageSetup paperSize="9" scale="81" fitToHeight="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F908A-BE1C-4C38-A2AB-10AB7D6EC7BB}">
  <sheetPr>
    <pageSetUpPr fitToPage="1"/>
  </sheetPr>
  <dimension ref="A1:K53"/>
  <sheetViews>
    <sheetView workbookViewId="0">
      <pane ySplit="3" topLeftCell="A22" activePane="bottomLeft" state="frozen"/>
      <selection pane="bottomLeft" activeCell="K10" sqref="K10"/>
    </sheetView>
  </sheetViews>
  <sheetFormatPr defaultColWidth="8.88671875" defaultRowHeight="14.4" x14ac:dyDescent="0.3"/>
  <cols>
    <col min="1" max="1" width="11.6640625" style="3" customWidth="1"/>
    <col min="2" max="2" width="40.33203125" style="2" customWidth="1"/>
    <col min="3" max="4" width="12.5546875" style="100" customWidth="1"/>
    <col min="5" max="5" width="12.5546875" style="96" customWidth="1"/>
    <col min="6" max="8" width="12.5546875" style="100" customWidth="1"/>
    <col min="9" max="9" width="12.5546875" style="101" customWidth="1"/>
    <col min="10" max="10" width="18.33203125" style="2" customWidth="1"/>
    <col min="11" max="11" width="64.88671875" style="2" customWidth="1"/>
    <col min="12" max="16384" width="8.88671875" style="2"/>
  </cols>
  <sheetData>
    <row r="1" spans="1:11" ht="21" x14ac:dyDescent="0.3">
      <c r="A1" s="166" t="s">
        <v>162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1" x14ac:dyDescent="0.3">
      <c r="B2" s="3"/>
      <c r="C2" s="96"/>
      <c r="D2" s="96"/>
    </row>
    <row r="3" spans="1:11" s="43" customFormat="1" ht="45.75" customHeight="1" x14ac:dyDescent="0.3">
      <c r="A3" s="92" t="s">
        <v>141</v>
      </c>
      <c r="B3" s="93" t="s">
        <v>163</v>
      </c>
      <c r="C3" s="95" t="s">
        <v>164</v>
      </c>
      <c r="D3" s="95" t="s">
        <v>165</v>
      </c>
      <c r="E3" s="95" t="s">
        <v>171</v>
      </c>
      <c r="F3" s="95" t="s">
        <v>185</v>
      </c>
      <c r="G3" s="95" t="s">
        <v>166</v>
      </c>
      <c r="H3" s="95" t="s">
        <v>167</v>
      </c>
      <c r="I3" s="94" t="s">
        <v>168</v>
      </c>
      <c r="J3" s="92" t="s">
        <v>169</v>
      </c>
      <c r="K3" s="92" t="s">
        <v>170</v>
      </c>
    </row>
    <row r="4" spans="1:11" s="43" customFormat="1" ht="30" customHeight="1" x14ac:dyDescent="0.3">
      <c r="A4" s="79">
        <v>45556</v>
      </c>
      <c r="B4" s="2" t="s">
        <v>211</v>
      </c>
      <c r="C4" s="97">
        <v>401</v>
      </c>
      <c r="D4" s="97">
        <v>37.71</v>
      </c>
      <c r="E4" s="97">
        <f t="shared" ref="E4:E9" si="0">C4-D4</f>
        <v>363.29</v>
      </c>
      <c r="F4" s="97">
        <v>0</v>
      </c>
      <c r="G4" s="97">
        <v>0</v>
      </c>
      <c r="H4" s="97">
        <f t="shared" ref="H4:H22" si="1">E4+F4+G4</f>
        <v>363.29</v>
      </c>
      <c r="I4" s="79">
        <v>45650</v>
      </c>
      <c r="J4" s="102">
        <v>363.29</v>
      </c>
      <c r="K4" s="2" t="s">
        <v>265</v>
      </c>
    </row>
    <row r="5" spans="1:11" s="43" customFormat="1" ht="30" customHeight="1" x14ac:dyDescent="0.3">
      <c r="A5" s="79">
        <v>45612</v>
      </c>
      <c r="B5" s="2" t="s">
        <v>211</v>
      </c>
      <c r="C5" s="97">
        <v>417</v>
      </c>
      <c r="D5" s="97">
        <v>9.11</v>
      </c>
      <c r="E5" s="97">
        <f t="shared" si="0"/>
        <v>407.89</v>
      </c>
      <c r="F5" s="97">
        <v>0</v>
      </c>
      <c r="G5" s="97">
        <v>0</v>
      </c>
      <c r="H5" s="97">
        <f t="shared" si="1"/>
        <v>407.89</v>
      </c>
      <c r="I5" s="79">
        <v>45650</v>
      </c>
      <c r="J5" s="102">
        <v>407.89</v>
      </c>
      <c r="K5" s="2" t="s">
        <v>265</v>
      </c>
    </row>
    <row r="6" spans="1:11" s="43" customFormat="1" ht="30" customHeight="1" x14ac:dyDescent="0.3">
      <c r="A6" s="79">
        <v>45633</v>
      </c>
      <c r="B6" s="2" t="s">
        <v>211</v>
      </c>
      <c r="C6" s="97">
        <v>503</v>
      </c>
      <c r="D6" s="97">
        <v>82.28</v>
      </c>
      <c r="E6" s="97">
        <f t="shared" si="0"/>
        <v>420.72</v>
      </c>
      <c r="F6" s="97">
        <v>0</v>
      </c>
      <c r="G6" s="97">
        <v>0</v>
      </c>
      <c r="H6" s="97">
        <f t="shared" si="1"/>
        <v>420.72</v>
      </c>
      <c r="I6" s="79">
        <v>45650</v>
      </c>
      <c r="J6" s="102">
        <v>420.72</v>
      </c>
      <c r="K6" s="2" t="s">
        <v>265</v>
      </c>
    </row>
    <row r="7" spans="1:11" s="43" customFormat="1" ht="30" customHeight="1" x14ac:dyDescent="0.3">
      <c r="A7" s="79">
        <v>45675</v>
      </c>
      <c r="B7" s="2" t="s">
        <v>211</v>
      </c>
      <c r="C7" s="97">
        <v>454</v>
      </c>
      <c r="D7" s="97">
        <v>57.99</v>
      </c>
      <c r="E7" s="97">
        <f t="shared" si="0"/>
        <v>396.01</v>
      </c>
      <c r="F7" s="97">
        <v>0</v>
      </c>
      <c r="G7" s="97">
        <v>0</v>
      </c>
      <c r="H7" s="97">
        <f t="shared" si="1"/>
        <v>396.01</v>
      </c>
      <c r="I7" s="79">
        <v>45854</v>
      </c>
      <c r="J7" s="102">
        <v>396.01</v>
      </c>
      <c r="K7" s="2" t="s">
        <v>265</v>
      </c>
    </row>
    <row r="8" spans="1:11" s="43" customFormat="1" ht="30" customHeight="1" x14ac:dyDescent="0.3">
      <c r="A8" s="79">
        <v>45731</v>
      </c>
      <c r="B8" s="2" t="s">
        <v>211</v>
      </c>
      <c r="C8" s="97">
        <v>400</v>
      </c>
      <c r="D8" s="97">
        <v>7.88</v>
      </c>
      <c r="E8" s="97">
        <f>C8-D8</f>
        <v>392.12</v>
      </c>
      <c r="F8" s="97">
        <v>0</v>
      </c>
      <c r="G8" s="97">
        <v>0</v>
      </c>
      <c r="H8" s="97">
        <f>E8+F8+G8</f>
        <v>392.12</v>
      </c>
      <c r="I8" s="79">
        <v>45854</v>
      </c>
      <c r="J8" s="102">
        <v>392.12</v>
      </c>
      <c r="K8" s="2" t="s">
        <v>265</v>
      </c>
    </row>
    <row r="9" spans="1:11" s="43" customFormat="1" ht="30" customHeight="1" x14ac:dyDescent="0.3">
      <c r="A9" s="79">
        <v>45773</v>
      </c>
      <c r="B9" s="2" t="s">
        <v>211</v>
      </c>
      <c r="C9" s="97">
        <v>329</v>
      </c>
      <c r="D9" s="97">
        <v>9.48</v>
      </c>
      <c r="E9" s="97">
        <f t="shared" si="0"/>
        <v>319.52</v>
      </c>
      <c r="F9" s="97">
        <v>0</v>
      </c>
      <c r="G9" s="97">
        <v>0</v>
      </c>
      <c r="H9" s="97">
        <f t="shared" si="1"/>
        <v>319.52</v>
      </c>
      <c r="I9" s="79">
        <v>45854</v>
      </c>
      <c r="J9" s="102">
        <v>319.52</v>
      </c>
      <c r="K9" s="2" t="s">
        <v>265</v>
      </c>
    </row>
    <row r="10" spans="1:11" s="43" customFormat="1" ht="30" customHeight="1" x14ac:dyDescent="0.3">
      <c r="A10" s="79">
        <v>45794</v>
      </c>
      <c r="B10" s="2" t="s">
        <v>211</v>
      </c>
      <c r="C10" s="97">
        <v>471</v>
      </c>
      <c r="D10" s="97">
        <v>5.31</v>
      </c>
      <c r="E10" s="97">
        <f t="shared" ref="E10" si="2">C10-D10</f>
        <v>465.69</v>
      </c>
      <c r="F10" s="97">
        <v>0</v>
      </c>
      <c r="G10" s="97">
        <v>0</v>
      </c>
      <c r="H10" s="97">
        <f t="shared" ref="H10" si="3">E10+F10+G10</f>
        <v>465.69</v>
      </c>
      <c r="I10" s="79">
        <v>45854</v>
      </c>
      <c r="J10" s="102">
        <v>465.69</v>
      </c>
      <c r="K10" s="2" t="s">
        <v>265</v>
      </c>
    </row>
    <row r="11" spans="1:11" ht="23.7" customHeight="1" x14ac:dyDescent="0.3">
      <c r="A11" s="168" t="s">
        <v>687</v>
      </c>
      <c r="B11" s="2" t="s">
        <v>545</v>
      </c>
      <c r="C11" s="100">
        <v>48</v>
      </c>
      <c r="D11" s="100">
        <v>0</v>
      </c>
      <c r="E11" s="97">
        <f t="shared" ref="E11:E22" si="4">C11-D11</f>
        <v>48</v>
      </c>
      <c r="F11" s="100">
        <v>738</v>
      </c>
      <c r="H11" s="97">
        <f t="shared" si="1"/>
        <v>786</v>
      </c>
      <c r="I11" s="79">
        <v>45650</v>
      </c>
      <c r="J11" s="156">
        <v>48</v>
      </c>
      <c r="K11" s="167" t="s">
        <v>686</v>
      </c>
    </row>
    <row r="12" spans="1:11" ht="23.7" customHeight="1" x14ac:dyDescent="0.3">
      <c r="A12" s="169"/>
      <c r="B12" s="2" t="s">
        <v>14</v>
      </c>
      <c r="C12" s="100">
        <v>24</v>
      </c>
      <c r="D12" s="100">
        <v>0</v>
      </c>
      <c r="E12" s="97">
        <f t="shared" si="4"/>
        <v>24</v>
      </c>
      <c r="F12" s="100">
        <v>477</v>
      </c>
      <c r="G12" s="100">
        <v>0</v>
      </c>
      <c r="H12" s="97">
        <f t="shared" si="1"/>
        <v>501</v>
      </c>
      <c r="I12" s="79">
        <v>45650</v>
      </c>
      <c r="J12" s="156">
        <v>24</v>
      </c>
      <c r="K12" s="167"/>
    </row>
    <row r="13" spans="1:11" ht="23.7" customHeight="1" x14ac:dyDescent="0.3">
      <c r="A13" s="169"/>
      <c r="B13" s="2" t="s">
        <v>552</v>
      </c>
      <c r="C13" s="100">
        <v>24</v>
      </c>
      <c r="D13" s="100">
        <v>0</v>
      </c>
      <c r="E13" s="97">
        <f t="shared" ref="E13" si="5">C13-D13</f>
        <v>24</v>
      </c>
      <c r="F13" s="100">
        <v>506</v>
      </c>
      <c r="H13" s="97">
        <f t="shared" ref="H13" si="6">E13+F13+G13</f>
        <v>530</v>
      </c>
      <c r="I13" s="79">
        <v>45650</v>
      </c>
      <c r="J13" s="156">
        <v>24</v>
      </c>
      <c r="K13" s="167"/>
    </row>
    <row r="14" spans="1:11" ht="23.7" customHeight="1" x14ac:dyDescent="0.3">
      <c r="A14" s="168" t="s">
        <v>688</v>
      </c>
      <c r="B14" s="2" t="s">
        <v>152</v>
      </c>
      <c r="C14" s="100">
        <v>36</v>
      </c>
      <c r="D14" s="100">
        <v>0</v>
      </c>
      <c r="E14" s="97">
        <f t="shared" si="4"/>
        <v>36</v>
      </c>
      <c r="F14" s="100">
        <v>1077</v>
      </c>
      <c r="H14" s="97">
        <f t="shared" si="1"/>
        <v>1113</v>
      </c>
      <c r="I14" s="79">
        <v>45854</v>
      </c>
      <c r="J14" s="157">
        <v>36</v>
      </c>
      <c r="K14" s="167" t="s">
        <v>691</v>
      </c>
    </row>
    <row r="15" spans="1:11" ht="23.7" customHeight="1" x14ac:dyDescent="0.3">
      <c r="A15" s="169"/>
      <c r="B15" s="2" t="s">
        <v>552</v>
      </c>
      <c r="C15" s="100">
        <v>36</v>
      </c>
      <c r="D15" s="100">
        <v>0</v>
      </c>
      <c r="E15" s="97">
        <f t="shared" ref="E15" si="7">C15-D15</f>
        <v>36</v>
      </c>
      <c r="F15" s="100">
        <v>675</v>
      </c>
      <c r="H15" s="97">
        <f t="shared" ref="H15" si="8">E15+F15+G15</f>
        <v>711</v>
      </c>
      <c r="I15" s="79">
        <v>45854</v>
      </c>
      <c r="J15" s="157">
        <v>36</v>
      </c>
      <c r="K15" s="167"/>
    </row>
    <row r="16" spans="1:11" ht="23.7" customHeight="1" x14ac:dyDescent="0.3">
      <c r="A16" s="168" t="s">
        <v>689</v>
      </c>
      <c r="B16" s="2" t="s">
        <v>14</v>
      </c>
      <c r="C16" s="100">
        <v>9</v>
      </c>
      <c r="D16" s="100">
        <v>0</v>
      </c>
      <c r="E16" s="97">
        <f t="shared" ref="E16" si="9">C16-D16</f>
        <v>9</v>
      </c>
      <c r="F16" s="100">
        <v>399</v>
      </c>
      <c r="H16" s="97">
        <f t="shared" ref="H16" si="10">E16+F16+G16</f>
        <v>408</v>
      </c>
      <c r="I16" s="79">
        <v>45854</v>
      </c>
      <c r="J16" s="155">
        <v>9</v>
      </c>
      <c r="K16" s="167" t="s">
        <v>690</v>
      </c>
    </row>
    <row r="17" spans="1:11" ht="23.7" customHeight="1" x14ac:dyDescent="0.3">
      <c r="A17" s="169"/>
      <c r="B17" s="2" t="s">
        <v>545</v>
      </c>
      <c r="C17" s="100">
        <v>18</v>
      </c>
      <c r="D17" s="100">
        <v>0</v>
      </c>
      <c r="E17" s="97">
        <f t="shared" si="4"/>
        <v>18</v>
      </c>
      <c r="F17" s="100">
        <v>526.5</v>
      </c>
      <c r="H17" s="97">
        <f t="shared" si="1"/>
        <v>544.5</v>
      </c>
      <c r="I17" s="79">
        <v>45854</v>
      </c>
      <c r="J17" s="155">
        <v>18</v>
      </c>
      <c r="K17" s="167"/>
    </row>
    <row r="18" spans="1:11" ht="23.7" customHeight="1" x14ac:dyDescent="0.3">
      <c r="A18" s="79" t="s">
        <v>508</v>
      </c>
      <c r="B18" s="2" t="s">
        <v>760</v>
      </c>
      <c r="C18" s="100">
        <v>70</v>
      </c>
      <c r="D18" s="100">
        <v>0</v>
      </c>
      <c r="E18" s="97">
        <f t="shared" ref="E18" si="11">C18-D18</f>
        <v>70</v>
      </c>
      <c r="F18" s="100">
        <v>100</v>
      </c>
      <c r="H18" s="97">
        <f t="shared" ref="H18" si="12">E18+F18+G18</f>
        <v>170</v>
      </c>
      <c r="I18" s="79">
        <v>45854</v>
      </c>
      <c r="J18" s="102">
        <v>70</v>
      </c>
      <c r="K18" s="139"/>
    </row>
    <row r="19" spans="1:11" ht="23.7" customHeight="1" x14ac:dyDescent="0.3">
      <c r="A19" s="79" t="s">
        <v>215</v>
      </c>
      <c r="B19" s="2" t="s">
        <v>212</v>
      </c>
      <c r="C19" s="100">
        <v>436</v>
      </c>
      <c r="D19" s="100">
        <v>326.77999999999997</v>
      </c>
      <c r="E19" s="97">
        <f t="shared" si="4"/>
        <v>109.22000000000003</v>
      </c>
      <c r="F19" s="100">
        <v>20</v>
      </c>
      <c r="H19" s="97">
        <f t="shared" si="1"/>
        <v>129.22000000000003</v>
      </c>
      <c r="I19" s="79">
        <v>45854</v>
      </c>
      <c r="J19" s="135">
        <v>109.22</v>
      </c>
      <c r="K19" s="167" t="s">
        <v>448</v>
      </c>
    </row>
    <row r="20" spans="1:11" ht="23.7" customHeight="1" x14ac:dyDescent="0.3">
      <c r="A20" s="79" t="s">
        <v>215</v>
      </c>
      <c r="B20" s="2" t="s">
        <v>213</v>
      </c>
      <c r="C20" s="100">
        <v>264.45999999999998</v>
      </c>
      <c r="D20" s="100">
        <v>0</v>
      </c>
      <c r="E20" s="97">
        <f t="shared" si="4"/>
        <v>264.45999999999998</v>
      </c>
      <c r="F20" s="100">
        <v>0</v>
      </c>
      <c r="H20" s="97">
        <f t="shared" si="1"/>
        <v>264.45999999999998</v>
      </c>
      <c r="I20" s="79">
        <v>45854</v>
      </c>
      <c r="J20" s="135">
        <v>264.45999999999998</v>
      </c>
      <c r="K20" s="167"/>
    </row>
    <row r="21" spans="1:11" ht="23.7" customHeight="1" x14ac:dyDescent="0.3">
      <c r="A21" s="79" t="s">
        <v>215</v>
      </c>
      <c r="B21" s="2" t="s">
        <v>446</v>
      </c>
      <c r="C21" s="100">
        <v>55</v>
      </c>
      <c r="D21" s="100">
        <v>0</v>
      </c>
      <c r="E21" s="97">
        <f t="shared" si="4"/>
        <v>55</v>
      </c>
      <c r="F21" s="100">
        <v>0</v>
      </c>
      <c r="H21" s="97">
        <f t="shared" si="1"/>
        <v>55</v>
      </c>
      <c r="I21" s="79">
        <v>45854</v>
      </c>
      <c r="J21" s="135">
        <v>55</v>
      </c>
      <c r="K21" s="167"/>
    </row>
    <row r="22" spans="1:11" ht="23.7" customHeight="1" x14ac:dyDescent="0.3">
      <c r="A22" s="79" t="s">
        <v>215</v>
      </c>
      <c r="B22" s="2" t="s">
        <v>214</v>
      </c>
      <c r="C22" s="100">
        <v>437</v>
      </c>
      <c r="D22" s="100">
        <v>0</v>
      </c>
      <c r="E22" s="97">
        <f t="shared" si="4"/>
        <v>437</v>
      </c>
      <c r="F22" s="100">
        <v>30</v>
      </c>
      <c r="H22" s="97">
        <f t="shared" si="1"/>
        <v>467</v>
      </c>
      <c r="I22" s="79">
        <v>45854</v>
      </c>
      <c r="J22" s="135">
        <v>437</v>
      </c>
      <c r="K22" s="167"/>
    </row>
    <row r="23" spans="1:11" ht="23.7" customHeight="1" x14ac:dyDescent="0.3">
      <c r="A23" s="79" t="s">
        <v>215</v>
      </c>
      <c r="B23" s="2" t="s">
        <v>287</v>
      </c>
      <c r="C23" s="100">
        <v>24</v>
      </c>
      <c r="D23" s="100">
        <v>0</v>
      </c>
      <c r="E23" s="97">
        <f>C23-D23</f>
        <v>24</v>
      </c>
      <c r="F23" s="100">
        <v>0</v>
      </c>
      <c r="H23" s="97">
        <f>E23+F23+G23</f>
        <v>24</v>
      </c>
      <c r="I23" s="79">
        <v>45854</v>
      </c>
      <c r="J23" s="135">
        <v>24</v>
      </c>
      <c r="K23" s="167"/>
    </row>
    <row r="24" spans="1:11" ht="30" customHeight="1" x14ac:dyDescent="0.3">
      <c r="A24" s="166" t="s">
        <v>172</v>
      </c>
      <c r="B24" s="166"/>
      <c r="C24" s="166"/>
      <c r="D24" s="166"/>
      <c r="E24" s="166"/>
      <c r="F24" s="108"/>
      <c r="G24" s="108"/>
      <c r="H24" s="108"/>
      <c r="I24" s="108"/>
      <c r="J24" s="140">
        <f>SUM(J19:J23)</f>
        <v>889.68</v>
      </c>
    </row>
    <row r="25" spans="1:11" ht="30" customHeight="1" x14ac:dyDescent="0.3">
      <c r="A25" s="93" t="s">
        <v>0</v>
      </c>
      <c r="B25" s="93" t="s">
        <v>175</v>
      </c>
      <c r="C25" s="93" t="s">
        <v>174</v>
      </c>
      <c r="D25" s="93" t="s">
        <v>173</v>
      </c>
      <c r="E25" s="93" t="s">
        <v>176</v>
      </c>
      <c r="F25" s="99"/>
      <c r="G25" s="99"/>
      <c r="H25" s="99"/>
      <c r="I25" s="99"/>
      <c r="J25" s="99"/>
    </row>
    <row r="26" spans="1:11" ht="30" customHeight="1" x14ac:dyDescent="0.3">
      <c r="A26" s="107">
        <v>45893</v>
      </c>
      <c r="B26" s="43" t="s">
        <v>546</v>
      </c>
      <c r="C26" s="12">
        <v>0</v>
      </c>
      <c r="D26" s="12">
        <v>0</v>
      </c>
      <c r="E26" s="98">
        <f>E28+C26-D26</f>
        <v>45.09</v>
      </c>
      <c r="F26" s="99"/>
      <c r="G26" s="99"/>
      <c r="H26" s="99"/>
      <c r="I26" s="99"/>
      <c r="J26" s="99"/>
    </row>
    <row r="27" spans="1:11" ht="15.45" customHeight="1" x14ac:dyDescent="0.3">
      <c r="A27" s="93"/>
      <c r="B27" s="93"/>
      <c r="C27" s="93"/>
      <c r="D27" s="93"/>
      <c r="E27" s="93"/>
      <c r="F27" s="99"/>
      <c r="G27" s="99"/>
      <c r="H27" s="99"/>
      <c r="I27" s="99"/>
      <c r="J27" s="99"/>
    </row>
    <row r="28" spans="1:11" ht="30" customHeight="1" x14ac:dyDescent="0.3">
      <c r="A28" s="107">
        <v>45528</v>
      </c>
      <c r="B28" s="43" t="s">
        <v>285</v>
      </c>
      <c r="C28" s="12">
        <v>0</v>
      </c>
      <c r="D28" s="12">
        <v>0</v>
      </c>
      <c r="E28" s="98">
        <f>E30+C28-D28</f>
        <v>45.09</v>
      </c>
      <c r="F28" s="99"/>
      <c r="G28" s="99"/>
      <c r="H28" s="99"/>
      <c r="I28" s="99"/>
      <c r="J28" s="99"/>
    </row>
    <row r="29" spans="1:11" ht="15.45" customHeight="1" x14ac:dyDescent="0.3">
      <c r="A29" s="93"/>
      <c r="B29" s="93"/>
      <c r="C29" s="93"/>
      <c r="D29" s="93"/>
      <c r="E29" s="93"/>
      <c r="F29" s="99"/>
      <c r="G29" s="99"/>
      <c r="H29" s="99"/>
      <c r="I29" s="99"/>
      <c r="J29" s="99"/>
    </row>
    <row r="30" spans="1:11" ht="30" customHeight="1" x14ac:dyDescent="0.3">
      <c r="A30" s="107">
        <v>45160</v>
      </c>
      <c r="B30" s="43" t="s">
        <v>241</v>
      </c>
      <c r="C30" s="12">
        <v>1</v>
      </c>
      <c r="D30" s="12">
        <v>0</v>
      </c>
      <c r="E30" s="98">
        <f>E32+C30-D30</f>
        <v>45.09</v>
      </c>
      <c r="F30" s="99"/>
      <c r="H30" s="99"/>
      <c r="I30" s="99"/>
      <c r="J30" s="99"/>
      <c r="K30" s="8"/>
    </row>
    <row r="31" spans="1:11" ht="14.4" customHeight="1" x14ac:dyDescent="0.3">
      <c r="A31" s="107"/>
      <c r="B31" s="93"/>
      <c r="C31" s="12"/>
      <c r="D31" s="12"/>
      <c r="E31" s="98"/>
      <c r="F31" s="99"/>
      <c r="G31" s="99"/>
      <c r="H31" s="99"/>
      <c r="I31" s="99"/>
      <c r="J31" s="99"/>
    </row>
    <row r="32" spans="1:11" ht="30" customHeight="1" x14ac:dyDescent="0.3">
      <c r="A32" s="107">
        <v>44795</v>
      </c>
      <c r="B32" s="43" t="s">
        <v>240</v>
      </c>
      <c r="C32" s="12">
        <v>0</v>
      </c>
      <c r="D32" s="12">
        <v>0</v>
      </c>
      <c r="E32" s="98">
        <f>E35+C32-D32</f>
        <v>44.09</v>
      </c>
      <c r="F32" s="99"/>
      <c r="G32" s="99"/>
      <c r="H32" s="99"/>
      <c r="I32" s="99"/>
      <c r="J32" s="99"/>
    </row>
    <row r="33" spans="1:9" hidden="1" x14ac:dyDescent="0.3">
      <c r="C33" s="12"/>
      <c r="D33" s="12"/>
      <c r="E33" s="98"/>
    </row>
    <row r="34" spans="1:9" x14ac:dyDescent="0.3">
      <c r="C34" s="12"/>
      <c r="D34" s="12"/>
      <c r="E34" s="98"/>
    </row>
    <row r="35" spans="1:9" ht="28.8" x14ac:dyDescent="0.3">
      <c r="A35" s="107">
        <v>44409</v>
      </c>
      <c r="B35" s="43" t="s">
        <v>188</v>
      </c>
      <c r="C35" s="12">
        <v>0</v>
      </c>
      <c r="D35" s="12">
        <v>0</v>
      </c>
      <c r="E35" s="98">
        <f>E37+C35-D35</f>
        <v>44.09</v>
      </c>
      <c r="F35" s="12"/>
      <c r="G35" s="12"/>
      <c r="H35" s="12"/>
      <c r="I35" s="79"/>
    </row>
    <row r="36" spans="1:9" x14ac:dyDescent="0.3">
      <c r="I36" s="83"/>
    </row>
    <row r="37" spans="1:9" ht="28.8" x14ac:dyDescent="0.3">
      <c r="A37" s="107">
        <v>44044</v>
      </c>
      <c r="B37" s="43" t="s">
        <v>181</v>
      </c>
      <c r="C37" s="12">
        <v>0</v>
      </c>
      <c r="D37" s="12">
        <v>0</v>
      </c>
      <c r="E37" s="98">
        <v>44.09</v>
      </c>
    </row>
    <row r="38" spans="1:9" x14ac:dyDescent="0.3">
      <c r="I38" s="83"/>
    </row>
    <row r="39" spans="1:9" x14ac:dyDescent="0.3">
      <c r="I39" s="83"/>
    </row>
    <row r="40" spans="1:9" x14ac:dyDescent="0.3">
      <c r="I40" s="83"/>
    </row>
    <row r="41" spans="1:9" x14ac:dyDescent="0.3">
      <c r="I41" s="83"/>
    </row>
    <row r="42" spans="1:9" x14ac:dyDescent="0.3">
      <c r="I42" s="83"/>
    </row>
    <row r="43" spans="1:9" x14ac:dyDescent="0.3">
      <c r="I43" s="83"/>
    </row>
    <row r="44" spans="1:9" x14ac:dyDescent="0.3">
      <c r="I44" s="83"/>
    </row>
    <row r="45" spans="1:9" x14ac:dyDescent="0.3">
      <c r="I45" s="83"/>
    </row>
    <row r="46" spans="1:9" x14ac:dyDescent="0.3">
      <c r="I46" s="83"/>
    </row>
    <row r="47" spans="1:9" x14ac:dyDescent="0.3">
      <c r="I47" s="83"/>
    </row>
    <row r="48" spans="1:9" x14ac:dyDescent="0.3">
      <c r="I48" s="83"/>
    </row>
    <row r="49" spans="9:9" x14ac:dyDescent="0.3">
      <c r="I49" s="83"/>
    </row>
    <row r="50" spans="9:9" x14ac:dyDescent="0.3">
      <c r="I50" s="83"/>
    </row>
    <row r="51" spans="9:9" x14ac:dyDescent="0.3">
      <c r="I51" s="83"/>
    </row>
    <row r="52" spans="9:9" x14ac:dyDescent="0.3">
      <c r="I52" s="83"/>
    </row>
    <row r="53" spans="9:9" x14ac:dyDescent="0.3">
      <c r="I53" s="83"/>
    </row>
  </sheetData>
  <mergeCells count="9">
    <mergeCell ref="A1:J1"/>
    <mergeCell ref="A24:E24"/>
    <mergeCell ref="K19:K23"/>
    <mergeCell ref="K11:K13"/>
    <mergeCell ref="A11:A13"/>
    <mergeCell ref="A14:A15"/>
    <mergeCell ref="A16:A17"/>
    <mergeCell ref="K16:K17"/>
    <mergeCell ref="K14:K15"/>
  </mergeCells>
  <pageMargins left="0.7" right="0.7" top="0.75" bottom="0.75" header="0.3" footer="0.3"/>
  <pageSetup scale="51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N131"/>
  <sheetViews>
    <sheetView workbookViewId="0">
      <pane xSplit="1" ySplit="4" topLeftCell="B89" activePane="bottomRight" state="frozen"/>
      <selection pane="topRight" activeCell="B1" sqref="B1"/>
      <selection pane="bottomLeft" activeCell="A5" sqref="A5"/>
      <selection pane="bottomRight" activeCell="F109" sqref="F109"/>
    </sheetView>
  </sheetViews>
  <sheetFormatPr defaultRowHeight="14.4" x14ac:dyDescent="0.3"/>
  <cols>
    <col min="1" max="1" width="16.5546875" customWidth="1"/>
    <col min="2" max="2" width="25.6640625" customWidth="1"/>
    <col min="3" max="3" width="10.6640625" style="30" customWidth="1"/>
    <col min="6" max="6" width="12.44140625" bestFit="1" customWidth="1"/>
    <col min="8" max="8" width="35.44140625" customWidth="1"/>
    <col min="9" max="9" width="15.33203125" style="67" customWidth="1"/>
    <col min="10" max="10" width="14.33203125" customWidth="1"/>
    <col min="11" max="11" width="9.5546875" style="115" bestFit="1" customWidth="1"/>
    <col min="12" max="12" width="9.5546875" style="115" customWidth="1"/>
    <col min="13" max="13" width="15.88671875" customWidth="1"/>
  </cols>
  <sheetData>
    <row r="1" spans="1:14" ht="24" customHeight="1" x14ac:dyDescent="0.3">
      <c r="A1" s="173" t="s">
        <v>194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4" ht="24" customHeight="1" x14ac:dyDescent="0.35">
      <c r="A2" s="54"/>
      <c r="B2" s="54"/>
      <c r="C2" s="54"/>
      <c r="D2" s="54"/>
      <c r="E2" s="54"/>
      <c r="F2" s="54"/>
      <c r="G2" s="54"/>
      <c r="H2" s="54"/>
    </row>
    <row r="3" spans="1:14" ht="15.6" x14ac:dyDescent="0.3">
      <c r="B3" s="171" t="s">
        <v>59</v>
      </c>
      <c r="C3" s="171"/>
      <c r="D3" s="171"/>
      <c r="E3" s="171"/>
      <c r="F3" s="171"/>
      <c r="H3" s="172" t="s">
        <v>68</v>
      </c>
      <c r="I3" s="172"/>
      <c r="J3" s="172"/>
    </row>
    <row r="4" spans="1:14" s="2" customFormat="1" ht="46.8" x14ac:dyDescent="0.3">
      <c r="A4" s="50"/>
      <c r="B4" s="51" t="s">
        <v>58</v>
      </c>
      <c r="C4" s="52" t="s">
        <v>53</v>
      </c>
      <c r="D4" s="51" t="s">
        <v>54</v>
      </c>
      <c r="E4" s="51" t="s">
        <v>196</v>
      </c>
      <c r="F4" s="51" t="s">
        <v>63</v>
      </c>
      <c r="H4" s="51" t="s">
        <v>58</v>
      </c>
      <c r="I4" s="52" t="s">
        <v>67</v>
      </c>
      <c r="J4" s="51" t="s">
        <v>66</v>
      </c>
      <c r="K4" s="114" t="s">
        <v>0</v>
      </c>
      <c r="L4" s="114"/>
    </row>
    <row r="5" spans="1:14" ht="31.35" customHeight="1" x14ac:dyDescent="0.3">
      <c r="A5" s="170" t="s">
        <v>395</v>
      </c>
      <c r="B5" t="s">
        <v>56</v>
      </c>
      <c r="C5" s="30">
        <v>22</v>
      </c>
      <c r="D5" s="20">
        <f>C5*8-E5</f>
        <v>176</v>
      </c>
      <c r="E5" s="20">
        <v>0</v>
      </c>
      <c r="F5" s="44">
        <f>D5+E5</f>
        <v>176</v>
      </c>
      <c r="H5" t="s">
        <v>698</v>
      </c>
      <c r="I5" s="106" t="s">
        <v>247</v>
      </c>
      <c r="J5" s="20">
        <v>50</v>
      </c>
      <c r="K5" s="115">
        <v>45558</v>
      </c>
    </row>
    <row r="6" spans="1:14" x14ac:dyDescent="0.3">
      <c r="A6" s="170"/>
      <c r="B6" t="s">
        <v>57</v>
      </c>
      <c r="D6" s="20">
        <f>C6*4-E6</f>
        <v>0</v>
      </c>
      <c r="E6" s="20">
        <v>0</v>
      </c>
      <c r="F6" s="44">
        <f>D6+E6</f>
        <v>0</v>
      </c>
      <c r="H6" t="s">
        <v>420</v>
      </c>
      <c r="I6" s="106" t="s">
        <v>247</v>
      </c>
      <c r="J6" s="20">
        <v>50</v>
      </c>
      <c r="K6" s="115">
        <v>45558</v>
      </c>
    </row>
    <row r="7" spans="1:14" x14ac:dyDescent="0.3">
      <c r="A7" s="170"/>
      <c r="B7" t="s">
        <v>60</v>
      </c>
      <c r="C7" s="30">
        <v>19</v>
      </c>
      <c r="D7" s="20">
        <f>C7*10-E7</f>
        <v>190</v>
      </c>
      <c r="E7" s="20"/>
      <c r="F7" s="44">
        <f>D7+E7</f>
        <v>190</v>
      </c>
      <c r="M7" s="149" t="s">
        <v>427</v>
      </c>
    </row>
    <row r="8" spans="1:14" x14ac:dyDescent="0.3">
      <c r="A8" s="170"/>
      <c r="B8" t="s">
        <v>61</v>
      </c>
      <c r="C8" s="30">
        <v>3</v>
      </c>
      <c r="D8" s="20">
        <f>C8*5-E8</f>
        <v>15</v>
      </c>
      <c r="E8" s="20">
        <v>0</v>
      </c>
      <c r="F8" s="44">
        <f>D8+E8</f>
        <v>15</v>
      </c>
      <c r="H8" t="s">
        <v>421</v>
      </c>
      <c r="I8" s="106" t="s">
        <v>247</v>
      </c>
      <c r="J8" s="20">
        <v>102.85</v>
      </c>
      <c r="K8" s="115">
        <v>45558</v>
      </c>
      <c r="M8" t="s">
        <v>276</v>
      </c>
      <c r="N8" s="20">
        <v>5.5</v>
      </c>
    </row>
    <row r="9" spans="1:14" x14ac:dyDescent="0.3">
      <c r="A9" s="170"/>
      <c r="D9" s="20"/>
      <c r="E9" s="20"/>
      <c r="F9" s="44"/>
      <c r="H9" t="s">
        <v>429</v>
      </c>
      <c r="I9" s="106" t="s">
        <v>247</v>
      </c>
      <c r="J9" s="20">
        <v>108.85</v>
      </c>
      <c r="K9" s="115">
        <v>45558</v>
      </c>
      <c r="M9" t="s">
        <v>437</v>
      </c>
      <c r="N9" s="20">
        <v>13.78</v>
      </c>
    </row>
    <row r="10" spans="1:14" x14ac:dyDescent="0.3">
      <c r="A10" s="170"/>
      <c r="B10" t="s">
        <v>394</v>
      </c>
      <c r="C10" s="30">
        <v>2</v>
      </c>
      <c r="D10" s="20">
        <f>C10*10-E10</f>
        <v>20</v>
      </c>
      <c r="E10" s="20"/>
      <c r="F10" s="44">
        <f>D10+E10</f>
        <v>20</v>
      </c>
      <c r="H10" t="s">
        <v>422</v>
      </c>
      <c r="I10" s="106" t="s">
        <v>247</v>
      </c>
      <c r="J10" s="20">
        <v>96.25</v>
      </c>
      <c r="K10" s="115">
        <v>45558</v>
      </c>
      <c r="M10" t="s">
        <v>699</v>
      </c>
      <c r="N10" s="20">
        <v>2</v>
      </c>
    </row>
    <row r="11" spans="1:14" x14ac:dyDescent="0.3">
      <c r="A11" s="170"/>
      <c r="D11" s="20"/>
      <c r="E11" s="20"/>
      <c r="F11" s="44"/>
      <c r="H11" t="s">
        <v>423</v>
      </c>
      <c r="I11" s="106" t="s">
        <v>247</v>
      </c>
      <c r="J11" s="20">
        <v>96.25</v>
      </c>
      <c r="K11" s="115">
        <v>45558</v>
      </c>
      <c r="M11" t="s">
        <v>276</v>
      </c>
      <c r="N11" s="20">
        <v>16.43</v>
      </c>
    </row>
    <row r="12" spans="1:14" x14ac:dyDescent="0.3">
      <c r="A12" s="170"/>
      <c r="D12" s="20"/>
      <c r="E12" s="20"/>
      <c r="F12" s="44"/>
      <c r="I12" s="106"/>
      <c r="J12" s="20"/>
      <c r="N12" s="53">
        <f>SUM(N8:N11)</f>
        <v>37.71</v>
      </c>
    </row>
    <row r="13" spans="1:14" x14ac:dyDescent="0.3">
      <c r="A13" s="170"/>
      <c r="D13" s="20"/>
      <c r="E13" s="20"/>
      <c r="F13" s="44"/>
      <c r="H13" s="150" t="s">
        <v>266</v>
      </c>
      <c r="I13" s="67" t="s">
        <v>195</v>
      </c>
      <c r="J13" s="20">
        <v>37.71</v>
      </c>
    </row>
    <row r="14" spans="1:14" x14ac:dyDescent="0.3">
      <c r="A14" s="170"/>
      <c r="D14" s="20"/>
      <c r="E14" s="20"/>
      <c r="F14" s="44"/>
      <c r="J14" s="20"/>
    </row>
    <row r="15" spans="1:14" x14ac:dyDescent="0.3">
      <c r="A15" s="170"/>
      <c r="B15" t="s">
        <v>62</v>
      </c>
      <c r="D15" s="20"/>
      <c r="E15" s="20"/>
      <c r="F15" s="49">
        <f>SUM(F5:F14)</f>
        <v>401</v>
      </c>
      <c r="H15" t="s">
        <v>62</v>
      </c>
      <c r="J15" s="53">
        <f>SUM(J5:J14)</f>
        <v>541.91</v>
      </c>
    </row>
    <row r="16" spans="1:14" s="55" customFormat="1" x14ac:dyDescent="0.3">
      <c r="C16" s="56"/>
      <c r="I16" s="131"/>
      <c r="K16" s="116"/>
      <c r="L16" s="116"/>
    </row>
    <row r="17" spans="1:13" ht="31.35" customHeight="1" x14ac:dyDescent="0.3">
      <c r="A17" s="170" t="s">
        <v>258</v>
      </c>
      <c r="B17" t="s">
        <v>203</v>
      </c>
      <c r="D17" s="20">
        <f>C17*0-E17</f>
        <v>0</v>
      </c>
      <c r="E17" s="20"/>
      <c r="F17" s="47">
        <f>SUM(D17:E17)</f>
        <v>0</v>
      </c>
      <c r="J17" s="20"/>
    </row>
    <row r="18" spans="1:13" ht="15.6" x14ac:dyDescent="0.3">
      <c r="A18" s="170"/>
      <c r="B18" t="s">
        <v>203</v>
      </c>
      <c r="D18" s="20">
        <f>C18*0-E18</f>
        <v>0</v>
      </c>
      <c r="E18" s="20"/>
      <c r="F18" s="47">
        <f>SUM(D18:E18)</f>
        <v>0</v>
      </c>
      <c r="J18" s="20"/>
    </row>
    <row r="19" spans="1:13" ht="15.6" x14ac:dyDescent="0.3">
      <c r="A19" s="170"/>
      <c r="B19" t="s">
        <v>204</v>
      </c>
      <c r="D19" s="20">
        <f>C19*0-E19</f>
        <v>0</v>
      </c>
      <c r="E19" s="20"/>
      <c r="F19" s="47">
        <f>SUM(D19:E19)</f>
        <v>0</v>
      </c>
      <c r="I19" s="106"/>
      <c r="J19" s="20"/>
    </row>
    <row r="20" spans="1:13" ht="15.6" x14ac:dyDescent="0.3">
      <c r="A20" s="170"/>
      <c r="B20" t="s">
        <v>204</v>
      </c>
      <c r="D20" s="20">
        <f>C20*0-E20</f>
        <v>0</v>
      </c>
      <c r="E20" s="20">
        <v>0</v>
      </c>
      <c r="F20" s="47">
        <f>SUM(D20:E20)</f>
        <v>0</v>
      </c>
      <c r="J20" s="20"/>
    </row>
    <row r="21" spans="1:13" x14ac:dyDescent="0.3">
      <c r="A21" s="170"/>
      <c r="C21" s="80"/>
      <c r="J21" s="20"/>
    </row>
    <row r="22" spans="1:13" x14ac:dyDescent="0.3">
      <c r="A22" s="170"/>
      <c r="J22" s="20"/>
    </row>
    <row r="23" spans="1:13" ht="15.6" x14ac:dyDescent="0.3">
      <c r="A23" s="170"/>
      <c r="B23" t="s">
        <v>137</v>
      </c>
      <c r="D23" s="20"/>
      <c r="E23" s="20"/>
      <c r="F23" s="47">
        <f>SUM(D23:E23)</f>
        <v>0</v>
      </c>
      <c r="J23" s="20"/>
    </row>
    <row r="24" spans="1:13" x14ac:dyDescent="0.3">
      <c r="A24" s="170"/>
      <c r="J24" s="20"/>
    </row>
    <row r="25" spans="1:13" x14ac:dyDescent="0.3">
      <c r="A25" s="170"/>
    </row>
    <row r="26" spans="1:13" x14ac:dyDescent="0.3">
      <c r="A26" s="170"/>
      <c r="B26" t="s">
        <v>69</v>
      </c>
      <c r="F26" s="53">
        <f>SUM(F17:F23)</f>
        <v>0</v>
      </c>
      <c r="H26" t="s">
        <v>69</v>
      </c>
      <c r="J26" s="53">
        <f>SUM(J17:J25)</f>
        <v>0</v>
      </c>
    </row>
    <row r="27" spans="1:13" s="55" customFormat="1" x14ac:dyDescent="0.3">
      <c r="C27" s="56"/>
      <c r="I27" s="131"/>
      <c r="K27" s="116"/>
      <c r="L27" s="116"/>
    </row>
    <row r="28" spans="1:13" x14ac:dyDescent="0.3">
      <c r="A28" s="170" t="s">
        <v>396</v>
      </c>
      <c r="B28" t="s">
        <v>56</v>
      </c>
      <c r="C28" s="30">
        <v>26</v>
      </c>
      <c r="D28" s="20">
        <f>C28*8-E28</f>
        <v>208</v>
      </c>
      <c r="E28" s="20">
        <v>0</v>
      </c>
      <c r="F28" s="105">
        <f>SUM(D28:E28)</f>
        <v>208</v>
      </c>
      <c r="H28" t="s">
        <v>419</v>
      </c>
      <c r="I28" s="106" t="s">
        <v>247</v>
      </c>
      <c r="J28" s="20">
        <v>50</v>
      </c>
      <c r="K28" s="115">
        <v>45614</v>
      </c>
    </row>
    <row r="29" spans="1:13" x14ac:dyDescent="0.3">
      <c r="A29" s="170"/>
      <c r="B29" t="s">
        <v>57</v>
      </c>
      <c r="C29" s="30">
        <v>1</v>
      </c>
      <c r="D29" s="20">
        <f>C29*4-E29</f>
        <v>4</v>
      </c>
      <c r="E29" s="20">
        <v>0</v>
      </c>
      <c r="F29" s="105">
        <f>SUM(D29:E29)</f>
        <v>4</v>
      </c>
      <c r="H29" t="s">
        <v>420</v>
      </c>
      <c r="I29" s="106" t="s">
        <v>247</v>
      </c>
      <c r="J29" s="20">
        <v>50</v>
      </c>
      <c r="K29" s="115">
        <v>45614</v>
      </c>
    </row>
    <row r="30" spans="1:13" x14ac:dyDescent="0.3">
      <c r="A30" s="170"/>
      <c r="B30" t="s">
        <v>60</v>
      </c>
      <c r="C30" s="30">
        <v>20</v>
      </c>
      <c r="D30" s="20">
        <f>C30*10-E30</f>
        <v>200</v>
      </c>
      <c r="E30" s="20"/>
      <c r="F30" s="105">
        <f>SUM(D30:E30)</f>
        <v>200</v>
      </c>
      <c r="I30" s="106"/>
      <c r="J30" s="20">
        <v>0</v>
      </c>
    </row>
    <row r="31" spans="1:13" x14ac:dyDescent="0.3">
      <c r="A31" s="170"/>
      <c r="B31" t="s">
        <v>61</v>
      </c>
      <c r="C31" s="30">
        <v>1</v>
      </c>
      <c r="D31" s="20">
        <f>C31*5-E31</f>
        <v>5</v>
      </c>
      <c r="E31" s="20">
        <v>0</v>
      </c>
      <c r="F31" s="105">
        <f>SUM(D31:E31)</f>
        <v>5</v>
      </c>
      <c r="H31" t="s">
        <v>421</v>
      </c>
      <c r="I31" s="106" t="s">
        <v>247</v>
      </c>
      <c r="J31" s="20">
        <v>102.85</v>
      </c>
      <c r="K31" s="115">
        <v>45614</v>
      </c>
    </row>
    <row r="32" spans="1:13" x14ac:dyDescent="0.3">
      <c r="A32" s="170"/>
      <c r="C32" s="80">
        <f>SUM(C28:C31)</f>
        <v>48</v>
      </c>
      <c r="H32" t="s">
        <v>428</v>
      </c>
      <c r="I32" s="106" t="s">
        <v>247</v>
      </c>
      <c r="J32" s="20">
        <v>110.05</v>
      </c>
      <c r="K32" s="115">
        <v>45614</v>
      </c>
      <c r="M32" s="16"/>
    </row>
    <row r="33" spans="1:14" x14ac:dyDescent="0.3">
      <c r="A33" s="170"/>
      <c r="H33" t="s">
        <v>422</v>
      </c>
      <c r="I33" s="106" t="s">
        <v>247</v>
      </c>
      <c r="J33" s="20">
        <v>96.25</v>
      </c>
      <c r="K33" s="115">
        <v>45614</v>
      </c>
      <c r="N33" s="20"/>
    </row>
    <row r="34" spans="1:14" x14ac:dyDescent="0.3">
      <c r="A34" s="170"/>
      <c r="H34" t="s">
        <v>424</v>
      </c>
      <c r="I34" s="106" t="s">
        <v>247</v>
      </c>
      <c r="J34" s="20">
        <v>96.25</v>
      </c>
      <c r="K34" s="115">
        <v>45614</v>
      </c>
      <c r="N34" s="20"/>
    </row>
    <row r="35" spans="1:14" x14ac:dyDescent="0.3">
      <c r="A35" s="170"/>
      <c r="H35" t="s">
        <v>700</v>
      </c>
      <c r="I35" s="106" t="s">
        <v>247</v>
      </c>
      <c r="J35" s="20">
        <v>96.25</v>
      </c>
      <c r="K35" s="115">
        <v>45614</v>
      </c>
      <c r="N35" s="20"/>
    </row>
    <row r="36" spans="1:14" x14ac:dyDescent="0.3">
      <c r="A36" s="170"/>
      <c r="I36" s="106"/>
      <c r="J36" s="20"/>
      <c r="N36" s="20"/>
    </row>
    <row r="37" spans="1:14" x14ac:dyDescent="0.3">
      <c r="A37" s="170"/>
      <c r="H37" t="s">
        <v>701</v>
      </c>
      <c r="I37" s="67" t="s">
        <v>195</v>
      </c>
      <c r="J37" s="20">
        <v>9.11</v>
      </c>
      <c r="N37" s="53"/>
    </row>
    <row r="38" spans="1:14" x14ac:dyDescent="0.3">
      <c r="A38" s="170"/>
    </row>
    <row r="39" spans="1:14" x14ac:dyDescent="0.3">
      <c r="A39" s="170"/>
      <c r="B39" t="s">
        <v>70</v>
      </c>
      <c r="F39" s="53">
        <f>SUM(F28:F38)</f>
        <v>417</v>
      </c>
      <c r="H39" t="s">
        <v>70</v>
      </c>
      <c r="J39" s="53">
        <f>SUM(J28:J38)</f>
        <v>610.76</v>
      </c>
    </row>
    <row r="40" spans="1:14" s="55" customFormat="1" x14ac:dyDescent="0.3">
      <c r="C40" s="56"/>
      <c r="I40" s="131"/>
      <c r="K40" s="116"/>
      <c r="L40" s="116"/>
    </row>
    <row r="41" spans="1:14" x14ac:dyDescent="0.3">
      <c r="A41" s="170" t="s">
        <v>397</v>
      </c>
      <c r="B41" t="s">
        <v>56</v>
      </c>
      <c r="C41" s="30">
        <v>31</v>
      </c>
      <c r="D41" s="20">
        <f>C41*8-E41</f>
        <v>248</v>
      </c>
      <c r="E41" s="20">
        <v>0</v>
      </c>
      <c r="F41" s="105">
        <f>SUM(D41:E41)</f>
        <v>248</v>
      </c>
      <c r="H41" t="s">
        <v>419</v>
      </c>
      <c r="I41" s="106" t="s">
        <v>247</v>
      </c>
      <c r="J41" s="20">
        <v>50</v>
      </c>
      <c r="K41" s="115">
        <v>45634</v>
      </c>
      <c r="M41" s="149" t="s">
        <v>427</v>
      </c>
    </row>
    <row r="42" spans="1:14" x14ac:dyDescent="0.3">
      <c r="A42" s="170"/>
      <c r="B42" t="s">
        <v>57</v>
      </c>
      <c r="D42" s="20">
        <f>C42*4-E42</f>
        <v>0</v>
      </c>
      <c r="E42" s="20">
        <v>0</v>
      </c>
      <c r="F42" s="105">
        <f>SUM(D42:E42)</f>
        <v>0</v>
      </c>
      <c r="H42" t="s">
        <v>420</v>
      </c>
      <c r="I42" s="106" t="s">
        <v>247</v>
      </c>
      <c r="J42" s="20">
        <v>50</v>
      </c>
      <c r="K42" s="115">
        <v>45979</v>
      </c>
      <c r="M42" t="s">
        <v>279</v>
      </c>
      <c r="N42" s="20">
        <v>6.12</v>
      </c>
    </row>
    <row r="43" spans="1:14" x14ac:dyDescent="0.3">
      <c r="A43" s="170"/>
      <c r="B43" t="s">
        <v>60</v>
      </c>
      <c r="C43" s="30">
        <v>25</v>
      </c>
      <c r="D43" s="20">
        <f>C43*10-E43</f>
        <v>250</v>
      </c>
      <c r="E43" s="20">
        <v>0</v>
      </c>
      <c r="F43" s="105">
        <f>SUM(D43:E43)</f>
        <v>250</v>
      </c>
      <c r="I43" s="106"/>
      <c r="J43" s="20">
        <v>0</v>
      </c>
      <c r="M43" t="s">
        <v>703</v>
      </c>
      <c r="N43" s="20">
        <v>30.16</v>
      </c>
    </row>
    <row r="44" spans="1:14" x14ac:dyDescent="0.3">
      <c r="A44" s="170"/>
      <c r="B44" t="s">
        <v>61</v>
      </c>
      <c r="C44" s="30">
        <v>1</v>
      </c>
      <c r="D44" s="20">
        <f>C44*5-E44</f>
        <v>5</v>
      </c>
      <c r="E44" s="20">
        <v>0</v>
      </c>
      <c r="F44" s="105">
        <f>SUM(D44:E44)</f>
        <v>5</v>
      </c>
      <c r="H44" t="s">
        <v>421</v>
      </c>
      <c r="I44" s="106" t="s">
        <v>247</v>
      </c>
      <c r="J44" s="20">
        <v>102.85</v>
      </c>
      <c r="K44" s="115">
        <v>45979</v>
      </c>
      <c r="M44" t="s">
        <v>704</v>
      </c>
      <c r="N44" s="20">
        <v>6</v>
      </c>
    </row>
    <row r="45" spans="1:14" x14ac:dyDescent="0.3">
      <c r="A45" s="170"/>
      <c r="D45" s="20">
        <f>C45*9-E45</f>
        <v>0</v>
      </c>
      <c r="E45" s="20">
        <v>0</v>
      </c>
      <c r="F45" s="105">
        <f>SUM(D45:E45)</f>
        <v>0</v>
      </c>
      <c r="H45" t="s">
        <v>422</v>
      </c>
      <c r="I45" s="106" t="s">
        <v>247</v>
      </c>
      <c r="J45" s="20">
        <v>96.25</v>
      </c>
      <c r="K45" s="115">
        <v>45979</v>
      </c>
      <c r="M45" t="s">
        <v>705</v>
      </c>
      <c r="N45" s="20">
        <v>40</v>
      </c>
    </row>
    <row r="46" spans="1:14" x14ac:dyDescent="0.3">
      <c r="A46" s="170"/>
      <c r="C46" s="80">
        <f>SUM(C41:C45)</f>
        <v>57</v>
      </c>
      <c r="H46" t="s">
        <v>424</v>
      </c>
      <c r="I46" s="106" t="s">
        <v>247</v>
      </c>
      <c r="J46" s="20">
        <v>96.25</v>
      </c>
      <c r="K46" s="115">
        <v>45979</v>
      </c>
      <c r="N46" s="53">
        <f>SUM(N42:N45)</f>
        <v>82.28</v>
      </c>
    </row>
    <row r="47" spans="1:14" ht="15.6" x14ac:dyDescent="0.3">
      <c r="A47" s="170"/>
      <c r="F47" s="47"/>
      <c r="H47" t="s">
        <v>702</v>
      </c>
      <c r="I47" s="106" t="s">
        <v>247</v>
      </c>
      <c r="J47" s="20">
        <v>96.25</v>
      </c>
      <c r="K47" s="115">
        <v>45979</v>
      </c>
      <c r="L47" s="148"/>
    </row>
    <row r="48" spans="1:14" x14ac:dyDescent="0.3">
      <c r="A48" s="170"/>
      <c r="I48" s="106"/>
      <c r="J48" s="20"/>
    </row>
    <row r="49" spans="1:14" x14ac:dyDescent="0.3">
      <c r="A49" s="170"/>
      <c r="H49" s="150" t="s">
        <v>266</v>
      </c>
      <c r="I49" s="67" t="s">
        <v>195</v>
      </c>
      <c r="J49" s="20">
        <v>82.28</v>
      </c>
    </row>
    <row r="50" spans="1:14" x14ac:dyDescent="0.3">
      <c r="A50" s="170"/>
      <c r="J50" s="20"/>
    </row>
    <row r="51" spans="1:14" x14ac:dyDescent="0.3">
      <c r="A51" s="170"/>
      <c r="B51" t="s">
        <v>71</v>
      </c>
      <c r="F51" s="53">
        <f>SUM(F41:F50)</f>
        <v>503</v>
      </c>
      <c r="H51" t="s">
        <v>71</v>
      </c>
      <c r="J51" s="53">
        <f>SUM(J41:J50)</f>
        <v>573.88</v>
      </c>
      <c r="N51" s="16"/>
    </row>
    <row r="52" spans="1:14" s="55" customFormat="1" x14ac:dyDescent="0.3">
      <c r="C52" s="56"/>
      <c r="I52" s="131"/>
      <c r="K52" s="116"/>
      <c r="L52" s="116"/>
    </row>
    <row r="53" spans="1:14" x14ac:dyDescent="0.3">
      <c r="A53" s="170" t="s">
        <v>398</v>
      </c>
      <c r="B53" t="s">
        <v>56</v>
      </c>
      <c r="C53" s="30">
        <v>23</v>
      </c>
      <c r="D53" s="20">
        <f>C53*8-E53</f>
        <v>184</v>
      </c>
      <c r="E53" s="20">
        <v>0</v>
      </c>
      <c r="F53" s="105">
        <f>SUM(D53:E53)</f>
        <v>184</v>
      </c>
      <c r="H53" t="s">
        <v>419</v>
      </c>
      <c r="I53" s="106" t="s">
        <v>247</v>
      </c>
      <c r="J53" s="20">
        <v>50</v>
      </c>
      <c r="K53" s="115">
        <v>45678</v>
      </c>
      <c r="M53" s="149" t="s">
        <v>427</v>
      </c>
    </row>
    <row r="54" spans="1:14" x14ac:dyDescent="0.3">
      <c r="A54" s="170"/>
      <c r="B54" t="s">
        <v>57</v>
      </c>
      <c r="D54" s="20">
        <f>C54*4-E54</f>
        <v>0</v>
      </c>
      <c r="E54" s="20">
        <v>0</v>
      </c>
      <c r="F54" s="105">
        <f>SUM(D54:E54)</f>
        <v>0</v>
      </c>
      <c r="H54" t="s">
        <v>420</v>
      </c>
      <c r="I54" s="106" t="s">
        <v>247</v>
      </c>
      <c r="J54" s="20">
        <v>50</v>
      </c>
      <c r="K54" s="115">
        <v>45678</v>
      </c>
      <c r="M54" t="s">
        <v>276</v>
      </c>
      <c r="N54" s="20">
        <v>5.85</v>
      </c>
    </row>
    <row r="55" spans="1:14" x14ac:dyDescent="0.3">
      <c r="A55" s="170"/>
      <c r="B55" t="s">
        <v>60</v>
      </c>
      <c r="C55" s="30">
        <v>25</v>
      </c>
      <c r="D55" s="20">
        <f>C55*10-E55</f>
        <v>250</v>
      </c>
      <c r="E55" s="20">
        <v>0</v>
      </c>
      <c r="F55" s="105">
        <f>SUM(D55:E55)</f>
        <v>250</v>
      </c>
      <c r="M55" t="s">
        <v>262</v>
      </c>
      <c r="N55" s="20">
        <v>39.69</v>
      </c>
    </row>
    <row r="56" spans="1:14" x14ac:dyDescent="0.3">
      <c r="A56" s="170"/>
      <c r="B56" t="s">
        <v>61</v>
      </c>
      <c r="C56" s="30">
        <v>4</v>
      </c>
      <c r="D56" s="20">
        <f>C56*5-E56</f>
        <v>20</v>
      </c>
      <c r="E56" s="20">
        <v>0</v>
      </c>
      <c r="F56" s="105">
        <f>SUM(D56:E56)</f>
        <v>20</v>
      </c>
      <c r="H56" t="s">
        <v>421</v>
      </c>
      <c r="I56" s="106" t="s">
        <v>247</v>
      </c>
      <c r="J56" s="20">
        <v>102.85</v>
      </c>
      <c r="K56" s="115">
        <v>45678</v>
      </c>
      <c r="M56" t="s">
        <v>425</v>
      </c>
      <c r="N56" s="20">
        <v>8.5500000000000007</v>
      </c>
    </row>
    <row r="57" spans="1:14" ht="15.6" x14ac:dyDescent="0.3">
      <c r="A57" s="170"/>
      <c r="D57" s="20"/>
      <c r="E57" s="20"/>
      <c r="F57" s="47"/>
      <c r="H57" t="s">
        <v>422</v>
      </c>
      <c r="I57" s="106" t="s">
        <v>247</v>
      </c>
      <c r="J57" s="20">
        <v>96.25</v>
      </c>
      <c r="K57" s="115">
        <v>45678</v>
      </c>
      <c r="M57" t="s">
        <v>426</v>
      </c>
      <c r="N57" s="20">
        <v>3.9</v>
      </c>
    </row>
    <row r="58" spans="1:14" ht="15.6" x14ac:dyDescent="0.3">
      <c r="A58" s="170"/>
      <c r="D58" s="20"/>
      <c r="E58" s="20"/>
      <c r="F58" s="47"/>
      <c r="H58" t="s">
        <v>423</v>
      </c>
      <c r="I58" s="106" t="s">
        <v>247</v>
      </c>
      <c r="J58" s="20">
        <v>96.25</v>
      </c>
      <c r="K58" s="115">
        <v>45678</v>
      </c>
      <c r="N58" s="53">
        <f>SUM(N54:N57)</f>
        <v>57.99</v>
      </c>
    </row>
    <row r="59" spans="1:14" x14ac:dyDescent="0.3">
      <c r="A59" s="170"/>
      <c r="H59" t="s">
        <v>424</v>
      </c>
      <c r="I59" s="106" t="s">
        <v>247</v>
      </c>
      <c r="J59" s="20">
        <v>96.25</v>
      </c>
      <c r="K59" s="115">
        <v>45678</v>
      </c>
      <c r="N59" s="20"/>
    </row>
    <row r="60" spans="1:14" x14ac:dyDescent="0.3">
      <c r="A60" s="170"/>
      <c r="N60" s="20"/>
    </row>
    <row r="61" spans="1:14" x14ac:dyDescent="0.3">
      <c r="A61" s="170"/>
      <c r="J61" s="20"/>
      <c r="N61" s="20"/>
    </row>
    <row r="62" spans="1:14" x14ac:dyDescent="0.3">
      <c r="A62" s="170"/>
      <c r="H62" s="150" t="s">
        <v>266</v>
      </c>
      <c r="I62" s="67" t="s">
        <v>195</v>
      </c>
      <c r="J62" s="20">
        <v>57.99</v>
      </c>
      <c r="N62" s="20"/>
    </row>
    <row r="63" spans="1:14" x14ac:dyDescent="0.3">
      <c r="A63" s="170"/>
      <c r="N63" s="53"/>
    </row>
    <row r="64" spans="1:14" x14ac:dyDescent="0.3">
      <c r="A64" s="170"/>
      <c r="B64" t="s">
        <v>72</v>
      </c>
      <c r="F64" s="53">
        <f>SUM(F53:F63)</f>
        <v>454</v>
      </c>
      <c r="H64" t="s">
        <v>72</v>
      </c>
      <c r="J64" s="53">
        <f>SUM(J53:J63)</f>
        <v>549.59</v>
      </c>
    </row>
    <row r="65" spans="1:12" s="55" customFormat="1" x14ac:dyDescent="0.3">
      <c r="C65" s="56"/>
      <c r="I65" s="131"/>
      <c r="K65" s="116"/>
      <c r="L65" s="116"/>
    </row>
    <row r="66" spans="1:12" x14ac:dyDescent="0.3">
      <c r="A66" s="170" t="s">
        <v>221</v>
      </c>
      <c r="B66" t="s">
        <v>56</v>
      </c>
      <c r="D66" s="20">
        <f>8*C66-E66</f>
        <v>0</v>
      </c>
      <c r="E66" s="57">
        <v>0</v>
      </c>
      <c r="F66" s="20">
        <f>D66+E66</f>
        <v>0</v>
      </c>
      <c r="H66" t="s">
        <v>64</v>
      </c>
      <c r="I66" s="106"/>
      <c r="J66" s="20"/>
    </row>
    <row r="67" spans="1:12" x14ac:dyDescent="0.3">
      <c r="A67" s="170"/>
      <c r="B67" t="s">
        <v>57</v>
      </c>
      <c r="D67" s="20">
        <f>4*C67-E67</f>
        <v>0</v>
      </c>
      <c r="E67" s="57">
        <v>0</v>
      </c>
      <c r="F67" s="20">
        <f>D67+E67</f>
        <v>0</v>
      </c>
      <c r="H67" t="s">
        <v>65</v>
      </c>
      <c r="J67" s="20"/>
    </row>
    <row r="68" spans="1:12" x14ac:dyDescent="0.3">
      <c r="A68" s="170"/>
      <c r="B68" t="s">
        <v>60</v>
      </c>
      <c r="D68" s="20">
        <f>10*C68-E68</f>
        <v>0</v>
      </c>
      <c r="E68" s="57">
        <v>0</v>
      </c>
      <c r="F68" s="20">
        <f>D68+E68</f>
        <v>0</v>
      </c>
      <c r="I68" s="106"/>
      <c r="J68" s="20"/>
    </row>
    <row r="69" spans="1:12" x14ac:dyDescent="0.3">
      <c r="A69" s="170"/>
      <c r="B69" t="s">
        <v>61</v>
      </c>
      <c r="D69" s="20">
        <f>5*C69-E69</f>
        <v>0</v>
      </c>
      <c r="E69" s="57">
        <v>0</v>
      </c>
      <c r="F69" s="20">
        <f>D69+E69</f>
        <v>0</v>
      </c>
      <c r="H69" t="s">
        <v>186</v>
      </c>
      <c r="J69" s="20"/>
    </row>
    <row r="70" spans="1:12" x14ac:dyDescent="0.3">
      <c r="A70" s="170"/>
      <c r="D70" s="20"/>
      <c r="F70" s="20"/>
      <c r="J70" s="20"/>
    </row>
    <row r="71" spans="1:12" x14ac:dyDescent="0.3">
      <c r="A71" s="170"/>
      <c r="D71" s="20"/>
      <c r="F71" s="20"/>
      <c r="J71" s="20"/>
    </row>
    <row r="72" spans="1:12" x14ac:dyDescent="0.3">
      <c r="A72" s="170"/>
      <c r="D72" s="20"/>
      <c r="F72" s="20"/>
      <c r="J72" s="20"/>
    </row>
    <row r="73" spans="1:12" x14ac:dyDescent="0.3">
      <c r="A73" s="170"/>
      <c r="D73" s="20"/>
      <c r="F73" s="20"/>
      <c r="J73" s="20"/>
    </row>
    <row r="74" spans="1:12" x14ac:dyDescent="0.3">
      <c r="A74" s="170"/>
      <c r="D74" s="20"/>
      <c r="F74" s="20"/>
      <c r="J74" s="20"/>
    </row>
    <row r="75" spans="1:12" x14ac:dyDescent="0.3">
      <c r="A75" s="170"/>
      <c r="D75" s="20"/>
      <c r="F75" s="20"/>
      <c r="J75" s="20"/>
    </row>
    <row r="76" spans="1:12" x14ac:dyDescent="0.3">
      <c r="A76" s="170"/>
      <c r="D76" s="20"/>
      <c r="F76" s="20"/>
      <c r="J76" s="20"/>
    </row>
    <row r="77" spans="1:12" x14ac:dyDescent="0.3">
      <c r="A77" s="170"/>
      <c r="D77" s="20"/>
      <c r="F77" s="20"/>
      <c r="J77" s="20"/>
    </row>
    <row r="78" spans="1:12" x14ac:dyDescent="0.3">
      <c r="A78" s="170"/>
      <c r="J78" s="20"/>
    </row>
    <row r="79" spans="1:12" x14ac:dyDescent="0.3">
      <c r="A79" s="170"/>
      <c r="B79" t="s">
        <v>73</v>
      </c>
      <c r="F79" s="53">
        <f>SUM(F66:F78)</f>
        <v>0</v>
      </c>
      <c r="H79" t="s">
        <v>73</v>
      </c>
      <c r="J79" s="53">
        <f>SUM(J66:J78)</f>
        <v>0</v>
      </c>
    </row>
    <row r="80" spans="1:12" s="55" customFormat="1" x14ac:dyDescent="0.3">
      <c r="C80" s="56"/>
      <c r="I80" s="131"/>
      <c r="K80" s="116"/>
      <c r="L80" s="116"/>
    </row>
    <row r="81" spans="1:14" x14ac:dyDescent="0.3">
      <c r="A81" s="170" t="s">
        <v>399</v>
      </c>
      <c r="B81" t="s">
        <v>56</v>
      </c>
      <c r="C81" s="30">
        <v>25</v>
      </c>
      <c r="D81" s="20">
        <f>8*C81-E81</f>
        <v>200</v>
      </c>
      <c r="E81" s="57"/>
      <c r="F81" s="20">
        <f>D81+E81</f>
        <v>200</v>
      </c>
      <c r="H81" t="s">
        <v>420</v>
      </c>
      <c r="I81" s="106" t="s">
        <v>247</v>
      </c>
      <c r="J81" s="20">
        <v>50</v>
      </c>
      <c r="K81" s="115">
        <v>45733</v>
      </c>
      <c r="M81" s="149" t="s">
        <v>427</v>
      </c>
    </row>
    <row r="82" spans="1:14" x14ac:dyDescent="0.3">
      <c r="A82" s="170"/>
      <c r="B82" t="s">
        <v>57</v>
      </c>
      <c r="D82" s="20">
        <f>4*C82-E82</f>
        <v>0</v>
      </c>
      <c r="E82" s="57"/>
      <c r="F82" s="20">
        <f>D82+E82</f>
        <v>0</v>
      </c>
      <c r="M82" t="s">
        <v>263</v>
      </c>
      <c r="N82" s="20">
        <v>5.3</v>
      </c>
    </row>
    <row r="83" spans="1:14" x14ac:dyDescent="0.3">
      <c r="A83" s="170"/>
      <c r="B83" t="s">
        <v>60</v>
      </c>
      <c r="C83" s="30">
        <v>19</v>
      </c>
      <c r="D83" s="20">
        <f>10*C83-E83</f>
        <v>190</v>
      </c>
      <c r="E83" s="57"/>
      <c r="F83" s="20">
        <f>D83+E83</f>
        <v>190</v>
      </c>
      <c r="H83" t="s">
        <v>423</v>
      </c>
      <c r="I83" s="106" t="s">
        <v>247</v>
      </c>
      <c r="J83" s="20">
        <v>96.25</v>
      </c>
      <c r="K83" s="115">
        <v>45733</v>
      </c>
      <c r="M83" t="s">
        <v>430</v>
      </c>
      <c r="N83" s="20">
        <v>2.58</v>
      </c>
    </row>
    <row r="84" spans="1:14" x14ac:dyDescent="0.3">
      <c r="A84" s="170"/>
      <c r="B84" t="s">
        <v>61</v>
      </c>
      <c r="C84" s="30">
        <v>2</v>
      </c>
      <c r="D84" s="20">
        <f>5*C84-E84</f>
        <v>10</v>
      </c>
      <c r="E84" s="57"/>
      <c r="F84" s="20">
        <f>D84+E84</f>
        <v>10</v>
      </c>
      <c r="H84" t="s">
        <v>421</v>
      </c>
      <c r="I84" s="106" t="s">
        <v>247</v>
      </c>
      <c r="J84" s="20">
        <v>102.85</v>
      </c>
      <c r="K84" s="115">
        <v>45733</v>
      </c>
      <c r="N84" s="53">
        <f>SUM(N82:N83)</f>
        <v>7.88</v>
      </c>
    </row>
    <row r="85" spans="1:14" x14ac:dyDescent="0.3">
      <c r="A85" s="170"/>
      <c r="B85" t="s">
        <v>77</v>
      </c>
      <c r="D85" s="20"/>
      <c r="F85" s="20"/>
      <c r="H85" t="s">
        <v>428</v>
      </c>
      <c r="I85" s="106" t="s">
        <v>247</v>
      </c>
      <c r="J85" s="20">
        <v>110.05</v>
      </c>
      <c r="K85" s="115">
        <v>45733</v>
      </c>
    </row>
    <row r="86" spans="1:14" x14ac:dyDescent="0.3">
      <c r="A86" s="170"/>
      <c r="H86" t="s">
        <v>429</v>
      </c>
      <c r="I86" s="106" t="s">
        <v>247</v>
      </c>
      <c r="J86" s="20">
        <v>108.85</v>
      </c>
      <c r="K86" s="115">
        <v>45733</v>
      </c>
    </row>
    <row r="87" spans="1:14" x14ac:dyDescent="0.3">
      <c r="A87" s="170"/>
      <c r="H87" t="s">
        <v>422</v>
      </c>
      <c r="I87" s="106" t="s">
        <v>247</v>
      </c>
      <c r="J87" s="20">
        <v>96.25</v>
      </c>
      <c r="K87" s="115">
        <v>45733</v>
      </c>
    </row>
    <row r="88" spans="1:14" x14ac:dyDescent="0.3">
      <c r="A88" s="170"/>
      <c r="J88" s="20"/>
      <c r="N88" s="16"/>
    </row>
    <row r="89" spans="1:14" x14ac:dyDescent="0.3">
      <c r="A89" s="170"/>
      <c r="H89" t="s">
        <v>186</v>
      </c>
      <c r="I89" s="67" t="s">
        <v>195</v>
      </c>
      <c r="J89" s="20">
        <v>7.88</v>
      </c>
      <c r="N89" s="16"/>
    </row>
    <row r="90" spans="1:14" x14ac:dyDescent="0.3">
      <c r="A90" s="170"/>
    </row>
    <row r="91" spans="1:14" x14ac:dyDescent="0.3">
      <c r="A91" s="170"/>
      <c r="B91" t="s">
        <v>74</v>
      </c>
      <c r="F91" s="53">
        <f>SUM(F81:F90)</f>
        <v>400</v>
      </c>
      <c r="H91" t="s">
        <v>74</v>
      </c>
      <c r="J91" s="53">
        <f>SUM(J81:J90)</f>
        <v>572.13</v>
      </c>
    </row>
    <row r="92" spans="1:14" s="55" customFormat="1" x14ac:dyDescent="0.3">
      <c r="C92" s="56"/>
      <c r="I92" s="131"/>
      <c r="K92" s="116"/>
      <c r="L92" s="116"/>
    </row>
    <row r="93" spans="1:14" x14ac:dyDescent="0.3">
      <c r="A93" s="170" t="s">
        <v>400</v>
      </c>
      <c r="B93" t="s">
        <v>56</v>
      </c>
      <c r="C93" s="30">
        <v>18</v>
      </c>
      <c r="D93" s="20">
        <f>8*C93-E93</f>
        <v>144</v>
      </c>
      <c r="E93" s="57">
        <v>0</v>
      </c>
      <c r="F93" s="20">
        <f>D93+E93</f>
        <v>144</v>
      </c>
      <c r="H93" t="s">
        <v>420</v>
      </c>
      <c r="I93" s="106" t="s">
        <v>247</v>
      </c>
      <c r="J93" s="20">
        <v>50</v>
      </c>
      <c r="K93" s="115">
        <v>45773</v>
      </c>
      <c r="M93" s="16"/>
    </row>
    <row r="94" spans="1:14" x14ac:dyDescent="0.3">
      <c r="A94" s="170"/>
      <c r="B94" t="s">
        <v>57</v>
      </c>
      <c r="D94" s="20">
        <f>4*C94-E94</f>
        <v>0</v>
      </c>
      <c r="E94" s="57">
        <v>0</v>
      </c>
      <c r="F94" s="20">
        <f>D94+E94</f>
        <v>0</v>
      </c>
    </row>
    <row r="95" spans="1:14" x14ac:dyDescent="0.3">
      <c r="A95" s="170"/>
      <c r="B95" t="s">
        <v>60</v>
      </c>
      <c r="C95" s="30">
        <v>17</v>
      </c>
      <c r="D95" s="20">
        <f>10*C95-E95</f>
        <v>170</v>
      </c>
      <c r="E95" s="57">
        <v>0</v>
      </c>
      <c r="F95" s="20">
        <f>D95+E95</f>
        <v>170</v>
      </c>
      <c r="H95" t="s">
        <v>429</v>
      </c>
      <c r="I95" s="106" t="s">
        <v>247</v>
      </c>
      <c r="J95" s="20">
        <v>205.1</v>
      </c>
      <c r="K95" s="115">
        <v>45773</v>
      </c>
    </row>
    <row r="96" spans="1:14" x14ac:dyDescent="0.3">
      <c r="A96" s="170"/>
      <c r="B96" t="s">
        <v>61</v>
      </c>
      <c r="C96" s="30">
        <v>3</v>
      </c>
      <c r="D96" s="20">
        <f>5*C96-E96</f>
        <v>15</v>
      </c>
      <c r="E96" s="57">
        <v>0</v>
      </c>
      <c r="F96" s="20">
        <f>D96+E96</f>
        <v>15</v>
      </c>
      <c r="H96" t="s">
        <v>424</v>
      </c>
      <c r="I96" s="106" t="s">
        <v>247</v>
      </c>
      <c r="J96" s="20">
        <v>96.25</v>
      </c>
      <c r="K96" s="115">
        <v>45773</v>
      </c>
    </row>
    <row r="97" spans="1:14" x14ac:dyDescent="0.3">
      <c r="A97" s="170"/>
      <c r="D97" s="20">
        <v>0</v>
      </c>
      <c r="F97" s="20">
        <f>D97</f>
        <v>0</v>
      </c>
      <c r="H97" t="s">
        <v>423</v>
      </c>
      <c r="I97" s="106" t="s">
        <v>247</v>
      </c>
      <c r="J97" s="20">
        <v>96.25</v>
      </c>
      <c r="K97" s="115">
        <v>45773</v>
      </c>
    </row>
    <row r="98" spans="1:14" x14ac:dyDescent="0.3">
      <c r="A98" s="170"/>
      <c r="J98" s="20"/>
    </row>
    <row r="99" spans="1:14" x14ac:dyDescent="0.3">
      <c r="A99" s="170"/>
      <c r="H99" t="s">
        <v>431</v>
      </c>
      <c r="I99" s="67" t="s">
        <v>195</v>
      </c>
      <c r="J99" s="20">
        <v>9.48</v>
      </c>
    </row>
    <row r="100" spans="1:14" x14ac:dyDescent="0.3">
      <c r="A100" s="170"/>
      <c r="J100" s="20"/>
    </row>
    <row r="101" spans="1:14" x14ac:dyDescent="0.3">
      <c r="A101" s="170"/>
    </row>
    <row r="102" spans="1:14" x14ac:dyDescent="0.3">
      <c r="A102" s="170"/>
      <c r="B102" t="s">
        <v>74</v>
      </c>
      <c r="F102" s="53">
        <f>SUM(F93:F101)</f>
        <v>329</v>
      </c>
      <c r="H102" t="s">
        <v>74</v>
      </c>
      <c r="J102" s="53">
        <f>SUM(J93:J101)</f>
        <v>457.08000000000004</v>
      </c>
      <c r="N102" s="16"/>
    </row>
    <row r="103" spans="1:14" s="55" customFormat="1" x14ac:dyDescent="0.3">
      <c r="C103" s="56"/>
      <c r="I103" s="131"/>
      <c r="K103" s="116"/>
      <c r="L103" s="116"/>
    </row>
    <row r="104" spans="1:14" x14ac:dyDescent="0.3">
      <c r="A104" s="170" t="s">
        <v>401</v>
      </c>
      <c r="B104" t="s">
        <v>56</v>
      </c>
      <c r="C104" s="30">
        <v>24</v>
      </c>
      <c r="D104" s="20">
        <f>8*C104-E104</f>
        <v>192</v>
      </c>
      <c r="E104" s="57"/>
      <c r="F104" s="20">
        <f>D104+E104</f>
        <v>192</v>
      </c>
      <c r="H104" t="s">
        <v>432</v>
      </c>
      <c r="I104" s="106" t="s">
        <v>247</v>
      </c>
      <c r="J104" s="20">
        <v>55</v>
      </c>
      <c r="K104" s="115">
        <v>45798</v>
      </c>
      <c r="M104" s="149" t="s">
        <v>427</v>
      </c>
    </row>
    <row r="105" spans="1:14" x14ac:dyDescent="0.3">
      <c r="A105" s="170"/>
      <c r="B105" t="s">
        <v>57</v>
      </c>
      <c r="C105" s="30">
        <v>1</v>
      </c>
      <c r="D105" s="20">
        <f>4*C105-E105</f>
        <v>4</v>
      </c>
      <c r="E105" s="57">
        <v>0</v>
      </c>
      <c r="F105" s="20">
        <f>D105+E105</f>
        <v>4</v>
      </c>
      <c r="H105" t="s">
        <v>433</v>
      </c>
      <c r="I105" s="106" t="s">
        <v>247</v>
      </c>
      <c r="J105" s="20">
        <v>55</v>
      </c>
      <c r="K105" s="115">
        <v>45798</v>
      </c>
      <c r="M105" t="s">
        <v>436</v>
      </c>
      <c r="N105" s="20">
        <v>2.33</v>
      </c>
    </row>
    <row r="106" spans="1:14" x14ac:dyDescent="0.3">
      <c r="A106" s="170"/>
      <c r="B106" t="s">
        <v>60</v>
      </c>
      <c r="C106" s="30">
        <v>27</v>
      </c>
      <c r="D106" s="20">
        <f>10*C106-E106</f>
        <v>270</v>
      </c>
      <c r="E106" s="57">
        <v>0</v>
      </c>
      <c r="F106" s="20">
        <f>D106+E106</f>
        <v>270</v>
      </c>
      <c r="M106" t="s">
        <v>437</v>
      </c>
      <c r="N106" s="20">
        <v>2.98</v>
      </c>
    </row>
    <row r="107" spans="1:14" x14ac:dyDescent="0.3">
      <c r="A107" s="170"/>
      <c r="B107" t="s">
        <v>61</v>
      </c>
      <c r="C107" s="30">
        <v>1</v>
      </c>
      <c r="D107" s="20">
        <f>5*C107-E107</f>
        <v>5</v>
      </c>
      <c r="E107" s="57">
        <v>0</v>
      </c>
      <c r="F107" s="20">
        <f>D107+E107</f>
        <v>5</v>
      </c>
      <c r="H107" t="s">
        <v>434</v>
      </c>
      <c r="I107" s="106" t="s">
        <v>247</v>
      </c>
      <c r="J107" s="20">
        <v>120.05</v>
      </c>
      <c r="K107" s="115">
        <v>45798</v>
      </c>
      <c r="N107" s="53">
        <f>SUM(N105:N106)</f>
        <v>5.3100000000000005</v>
      </c>
    </row>
    <row r="108" spans="1:14" x14ac:dyDescent="0.3">
      <c r="A108" s="170"/>
      <c r="D108" s="20"/>
      <c r="F108" s="20"/>
      <c r="H108" t="s">
        <v>429</v>
      </c>
      <c r="I108" s="106" t="s">
        <v>247</v>
      </c>
      <c r="J108" s="20">
        <v>118.85</v>
      </c>
      <c r="K108" s="115">
        <v>45798</v>
      </c>
    </row>
    <row r="109" spans="1:14" x14ac:dyDescent="0.3">
      <c r="A109" s="170"/>
      <c r="H109" t="s">
        <v>435</v>
      </c>
      <c r="I109" s="67" t="s">
        <v>247</v>
      </c>
      <c r="J109" s="20">
        <v>106.25</v>
      </c>
      <c r="K109" s="115">
        <v>45798</v>
      </c>
    </row>
    <row r="110" spans="1:14" x14ac:dyDescent="0.3">
      <c r="A110" s="170"/>
      <c r="H110" t="s">
        <v>421</v>
      </c>
      <c r="I110" s="106" t="s">
        <v>247</v>
      </c>
      <c r="J110" s="20">
        <v>112.85</v>
      </c>
      <c r="K110" s="115">
        <v>45798</v>
      </c>
    </row>
    <row r="111" spans="1:14" x14ac:dyDescent="0.3">
      <c r="A111" s="170"/>
      <c r="H111" t="s">
        <v>423</v>
      </c>
      <c r="I111" s="106" t="s">
        <v>247</v>
      </c>
      <c r="J111" s="20">
        <v>106.25</v>
      </c>
    </row>
    <row r="112" spans="1:14" x14ac:dyDescent="0.3">
      <c r="A112" s="170"/>
      <c r="J112" s="20"/>
    </row>
    <row r="113" spans="1:14" x14ac:dyDescent="0.3">
      <c r="A113" s="170"/>
      <c r="H113" s="150" t="s">
        <v>187</v>
      </c>
      <c r="I113" s="67" t="s">
        <v>195</v>
      </c>
      <c r="J113" s="20">
        <v>5.31</v>
      </c>
    </row>
    <row r="114" spans="1:14" x14ac:dyDescent="0.3">
      <c r="A114" s="170"/>
      <c r="J114" s="20"/>
    </row>
    <row r="115" spans="1:14" x14ac:dyDescent="0.3">
      <c r="A115" s="170"/>
    </row>
    <row r="116" spans="1:14" x14ac:dyDescent="0.3">
      <c r="A116" s="170"/>
      <c r="B116" t="s">
        <v>75</v>
      </c>
      <c r="D116" s="20">
        <f>SUM(D104:D115)</f>
        <v>471</v>
      </c>
      <c r="F116" s="53">
        <f>SUM(F104:F115)</f>
        <v>471</v>
      </c>
      <c r="H116" t="s">
        <v>75</v>
      </c>
      <c r="J116" s="53">
        <f>SUM(J104:J115)</f>
        <v>679.56</v>
      </c>
      <c r="N116" s="16"/>
    </row>
    <row r="117" spans="1:14" s="55" customFormat="1" x14ac:dyDescent="0.3">
      <c r="C117" s="56"/>
      <c r="I117" s="131"/>
      <c r="K117" s="116"/>
      <c r="L117" s="116"/>
    </row>
    <row r="118" spans="1:14" x14ac:dyDescent="0.3">
      <c r="A118" s="170" t="s">
        <v>220</v>
      </c>
      <c r="B118" t="s">
        <v>56</v>
      </c>
      <c r="D118" s="20">
        <f>8*C118-E118</f>
        <v>0</v>
      </c>
      <c r="E118" s="57">
        <v>0</v>
      </c>
      <c r="F118" s="20">
        <f>D118+E118</f>
        <v>0</v>
      </c>
      <c r="H118" t="s">
        <v>64</v>
      </c>
      <c r="I118" s="106"/>
      <c r="J118" s="20"/>
    </row>
    <row r="119" spans="1:14" x14ac:dyDescent="0.3">
      <c r="A119" s="170"/>
      <c r="B119" t="s">
        <v>57</v>
      </c>
      <c r="D119" s="20">
        <f>4*C119-E119</f>
        <v>0</v>
      </c>
      <c r="E119" s="57">
        <v>0</v>
      </c>
      <c r="F119" s="20">
        <f>D119+E119</f>
        <v>0</v>
      </c>
      <c r="H119" t="s">
        <v>65</v>
      </c>
      <c r="J119" s="20"/>
    </row>
    <row r="120" spans="1:14" x14ac:dyDescent="0.3">
      <c r="A120" s="170"/>
      <c r="B120" t="s">
        <v>60</v>
      </c>
      <c r="D120" s="20">
        <f>10*C120-E120</f>
        <v>0</v>
      </c>
      <c r="E120" s="57">
        <v>0</v>
      </c>
      <c r="F120" s="20">
        <f>D120+E120</f>
        <v>0</v>
      </c>
      <c r="H120" t="s">
        <v>65</v>
      </c>
      <c r="I120" s="106"/>
      <c r="J120" s="20"/>
    </row>
    <row r="121" spans="1:14" x14ac:dyDescent="0.3">
      <c r="A121" s="170"/>
      <c r="B121" t="s">
        <v>61</v>
      </c>
      <c r="D121" s="20">
        <f>5*C121-E121</f>
        <v>0</v>
      </c>
      <c r="E121" s="57">
        <v>0</v>
      </c>
      <c r="F121" s="20">
        <f>D121+E121</f>
        <v>0</v>
      </c>
      <c r="H121" t="s">
        <v>187</v>
      </c>
      <c r="J121" s="20"/>
    </row>
    <row r="122" spans="1:14" x14ac:dyDescent="0.3">
      <c r="A122" s="170"/>
      <c r="J122" s="20"/>
    </row>
    <row r="123" spans="1:14" x14ac:dyDescent="0.3">
      <c r="A123" s="170"/>
      <c r="J123" s="20"/>
    </row>
    <row r="124" spans="1:14" x14ac:dyDescent="0.3">
      <c r="A124" s="170"/>
      <c r="J124" s="20"/>
    </row>
    <row r="125" spans="1:14" x14ac:dyDescent="0.3">
      <c r="A125" s="170"/>
      <c r="J125" s="20"/>
    </row>
    <row r="126" spans="1:14" x14ac:dyDescent="0.3">
      <c r="A126" s="170"/>
      <c r="J126" s="20"/>
    </row>
    <row r="127" spans="1:14" x14ac:dyDescent="0.3">
      <c r="A127" s="170"/>
    </row>
    <row r="128" spans="1:14" x14ac:dyDescent="0.3">
      <c r="A128" s="170"/>
      <c r="B128" t="s">
        <v>76</v>
      </c>
      <c r="F128" s="53">
        <f>SUM(F118:F127)</f>
        <v>0</v>
      </c>
      <c r="H128" t="s">
        <v>76</v>
      </c>
      <c r="J128" s="53">
        <f>SUM(J118:J127)</f>
        <v>0</v>
      </c>
    </row>
    <row r="129" spans="1:12" s="55" customFormat="1" x14ac:dyDescent="0.3">
      <c r="C129" s="56"/>
      <c r="I129" s="131"/>
      <c r="K129" s="116"/>
      <c r="L129" s="116"/>
    </row>
    <row r="131" spans="1:12" s="59" customFormat="1" x14ac:dyDescent="0.3">
      <c r="A131" s="59" t="s">
        <v>79</v>
      </c>
      <c r="C131" s="60"/>
      <c r="F131" s="61">
        <f>F15+F26+F39+F51+F64+F79+F91+F102+F116+F128</f>
        <v>2975</v>
      </c>
      <c r="I131" s="132"/>
      <c r="J131" s="61">
        <f>J15+J26+J39+J51+J64+J79+J91+J102+J116+J128</f>
        <v>3984.9100000000003</v>
      </c>
      <c r="K131" s="117"/>
      <c r="L131" s="117"/>
    </row>
  </sheetData>
  <mergeCells count="13">
    <mergeCell ref="B3:F3"/>
    <mergeCell ref="H3:J3"/>
    <mergeCell ref="A1:J1"/>
    <mergeCell ref="A5:A15"/>
    <mergeCell ref="A17:A26"/>
    <mergeCell ref="A118:A128"/>
    <mergeCell ref="A93:A102"/>
    <mergeCell ref="A28:A39"/>
    <mergeCell ref="A41:A51"/>
    <mergeCell ref="A53:A64"/>
    <mergeCell ref="A66:A79"/>
    <mergeCell ref="A81:A91"/>
    <mergeCell ref="A104:A116"/>
  </mergeCells>
  <pageMargins left="0.7" right="0.7" top="0.75" bottom="0.75" header="0.3" footer="0.3"/>
  <pageSetup scale="3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  <pageSetUpPr fitToPage="1"/>
  </sheetPr>
  <dimension ref="A1:N44"/>
  <sheetViews>
    <sheetView workbookViewId="0">
      <pane xSplit="1" ySplit="4" topLeftCell="C17" activePane="bottomRight" state="frozen"/>
      <selection pane="topRight" activeCell="B1" sqref="B1"/>
      <selection pane="bottomLeft" activeCell="A5" sqref="A5"/>
      <selection pane="bottomRight" activeCell="M41" sqref="M41"/>
    </sheetView>
  </sheetViews>
  <sheetFormatPr defaultColWidth="8.6640625" defaultRowHeight="14.4" x14ac:dyDescent="0.3"/>
  <cols>
    <col min="1" max="1" width="16.5546875" customWidth="1"/>
    <col min="2" max="2" width="25.88671875" customWidth="1"/>
    <col min="3" max="3" width="10.6640625" style="30" customWidth="1"/>
    <col min="4" max="4" width="8.88671875" bestFit="1" customWidth="1"/>
    <col min="6" max="6" width="8.88671875" bestFit="1" customWidth="1"/>
    <col min="8" max="8" width="49.44140625" customWidth="1"/>
    <col min="9" max="9" width="15.33203125" style="30" customWidth="1"/>
    <col min="10" max="10" width="11.6640625" customWidth="1"/>
    <col min="11" max="11" width="8.6640625" style="115"/>
    <col min="12" max="12" width="4.33203125" customWidth="1"/>
    <col min="13" max="13" width="27.5546875" customWidth="1"/>
  </cols>
  <sheetData>
    <row r="1" spans="1:14" ht="24" customHeight="1" x14ac:dyDescent="0.3">
      <c r="A1" s="173" t="s">
        <v>500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4" ht="24" customHeight="1" x14ac:dyDescent="0.35">
      <c r="A2" s="54"/>
      <c r="B2" s="54"/>
      <c r="C2" s="54"/>
      <c r="D2" s="54"/>
      <c r="E2" s="54"/>
      <c r="F2" s="54"/>
      <c r="G2" s="54"/>
      <c r="H2" s="54"/>
    </row>
    <row r="3" spans="1:14" ht="15.6" x14ac:dyDescent="0.3">
      <c r="B3" s="171" t="s">
        <v>59</v>
      </c>
      <c r="C3" s="171"/>
      <c r="D3" s="171"/>
      <c r="E3" s="171"/>
      <c r="F3" s="171"/>
      <c r="H3" s="172" t="s">
        <v>68</v>
      </c>
      <c r="I3" s="172"/>
      <c r="J3" s="172"/>
    </row>
    <row r="4" spans="1:14" s="2" customFormat="1" ht="46.8" x14ac:dyDescent="0.3">
      <c r="A4" s="50"/>
      <c r="B4" s="51" t="s">
        <v>58</v>
      </c>
      <c r="C4" s="52" t="s">
        <v>53</v>
      </c>
      <c r="D4" s="51" t="s">
        <v>196</v>
      </c>
      <c r="E4" s="51" t="s">
        <v>195</v>
      </c>
      <c r="F4" s="51" t="s">
        <v>63</v>
      </c>
      <c r="H4" s="51" t="s">
        <v>58</v>
      </c>
      <c r="I4" s="52" t="s">
        <v>67</v>
      </c>
      <c r="J4" s="51" t="s">
        <v>66</v>
      </c>
      <c r="K4" s="114" t="s">
        <v>0</v>
      </c>
    </row>
    <row r="5" spans="1:14" ht="14.4" customHeight="1" x14ac:dyDescent="0.3">
      <c r="A5" s="170" t="s">
        <v>501</v>
      </c>
      <c r="B5" s="176"/>
      <c r="C5" s="180"/>
      <c r="D5" s="178"/>
      <c r="E5" s="178"/>
      <c r="F5" s="182"/>
      <c r="G5" s="176"/>
      <c r="H5" t="s">
        <v>518</v>
      </c>
      <c r="I5" s="30" t="s">
        <v>247</v>
      </c>
      <c r="J5" s="20">
        <v>423.5</v>
      </c>
      <c r="K5" s="115">
        <v>45575</v>
      </c>
    </row>
    <row r="6" spans="1:14" ht="14.4" customHeight="1" x14ac:dyDescent="0.3">
      <c r="A6" s="170"/>
      <c r="B6" s="176"/>
      <c r="C6" s="180"/>
      <c r="D6" s="178"/>
      <c r="E6" s="178"/>
      <c r="F6" s="182"/>
      <c r="G6" s="176"/>
      <c r="H6" t="s">
        <v>519</v>
      </c>
      <c r="I6" s="30" t="s">
        <v>247</v>
      </c>
      <c r="J6" s="20">
        <v>154</v>
      </c>
      <c r="K6" s="115">
        <v>45575</v>
      </c>
    </row>
    <row r="7" spans="1:14" ht="14.4" customHeight="1" x14ac:dyDescent="0.3">
      <c r="A7" s="170"/>
      <c r="B7" s="176"/>
      <c r="C7" s="180"/>
      <c r="D7" s="178"/>
      <c r="E7" s="178"/>
      <c r="F7" s="182"/>
      <c r="G7" s="176"/>
      <c r="H7" s="150" t="s">
        <v>514</v>
      </c>
      <c r="I7" s="30" t="s">
        <v>247</v>
      </c>
      <c r="J7" s="20">
        <v>81.709999999999994</v>
      </c>
      <c r="K7" s="115">
        <v>45614</v>
      </c>
    </row>
    <row r="8" spans="1:14" ht="14.4" customHeight="1" x14ac:dyDescent="0.3">
      <c r="A8" s="170"/>
      <c r="B8" s="176"/>
      <c r="C8" s="180"/>
      <c r="D8" s="178"/>
      <c r="E8" s="178"/>
      <c r="F8" s="182"/>
      <c r="G8" s="176"/>
      <c r="H8" s="16" t="s">
        <v>539</v>
      </c>
      <c r="J8" s="20"/>
      <c r="N8" s="20"/>
    </row>
    <row r="9" spans="1:14" ht="14.4" customHeight="1" x14ac:dyDescent="0.3">
      <c r="A9" s="170"/>
      <c r="B9" s="176"/>
      <c r="C9" s="180"/>
      <c r="D9" s="178"/>
      <c r="E9" s="178"/>
      <c r="F9" s="182"/>
      <c r="G9" s="176"/>
      <c r="H9" s="153" t="s">
        <v>567</v>
      </c>
      <c r="I9" s="30" t="s">
        <v>247</v>
      </c>
      <c r="J9" s="20">
        <v>86</v>
      </c>
      <c r="K9" s="115">
        <v>45643</v>
      </c>
      <c r="M9" s="150" t="s">
        <v>515</v>
      </c>
    </row>
    <row r="10" spans="1:14" ht="14.4" customHeight="1" x14ac:dyDescent="0.3">
      <c r="A10" s="170"/>
      <c r="B10" s="176"/>
      <c r="C10" s="180"/>
      <c r="D10" s="176"/>
      <c r="E10" s="176"/>
      <c r="F10" s="176"/>
      <c r="G10" s="176"/>
      <c r="H10" s="153" t="s">
        <v>568</v>
      </c>
      <c r="I10" s="30" t="s">
        <v>247</v>
      </c>
      <c r="J10" s="20">
        <v>40</v>
      </c>
      <c r="K10" s="115">
        <v>45643</v>
      </c>
      <c r="M10" t="s">
        <v>520</v>
      </c>
      <c r="N10" s="20">
        <v>3.99</v>
      </c>
    </row>
    <row r="11" spans="1:14" ht="14.4" customHeight="1" x14ac:dyDescent="0.3">
      <c r="A11" s="52"/>
      <c r="B11" s="176"/>
      <c r="C11" s="180"/>
      <c r="D11" s="178"/>
      <c r="E11" s="178"/>
      <c r="F11" s="182"/>
      <c r="G11" s="176"/>
      <c r="H11" s="153" t="s">
        <v>569</v>
      </c>
      <c r="I11" s="30" t="s">
        <v>247</v>
      </c>
      <c r="J11" s="20">
        <v>40</v>
      </c>
      <c r="K11" s="115">
        <v>45643</v>
      </c>
      <c r="M11" t="s">
        <v>521</v>
      </c>
      <c r="N11" s="20">
        <v>11.56</v>
      </c>
    </row>
    <row r="12" spans="1:14" ht="14.4" customHeight="1" x14ac:dyDescent="0.3">
      <c r="A12" s="52"/>
      <c r="B12" s="176"/>
      <c r="C12" s="180"/>
      <c r="D12" s="178"/>
      <c r="E12" s="178"/>
      <c r="F12" s="182"/>
      <c r="G12" s="176"/>
      <c r="H12" s="153" t="s">
        <v>570</v>
      </c>
      <c r="I12" s="30" t="s">
        <v>247</v>
      </c>
      <c r="J12" s="20">
        <v>60</v>
      </c>
      <c r="K12" s="115">
        <v>45643</v>
      </c>
      <c r="M12" t="s">
        <v>521</v>
      </c>
      <c r="N12" s="20">
        <v>20.09</v>
      </c>
    </row>
    <row r="13" spans="1:14" ht="14.4" customHeight="1" x14ac:dyDescent="0.3">
      <c r="A13" s="52"/>
      <c r="B13" s="176"/>
      <c r="C13" s="180"/>
      <c r="D13" s="178"/>
      <c r="E13" s="178"/>
      <c r="F13" s="182"/>
      <c r="G13" s="176"/>
      <c r="H13" s="153" t="s">
        <v>571</v>
      </c>
      <c r="I13" s="30" t="s">
        <v>247</v>
      </c>
      <c r="J13" s="20">
        <v>60</v>
      </c>
      <c r="K13" s="115">
        <v>45643</v>
      </c>
      <c r="M13" t="s">
        <v>263</v>
      </c>
      <c r="N13" s="20">
        <v>4.5</v>
      </c>
    </row>
    <row r="14" spans="1:14" ht="14.4" customHeight="1" x14ac:dyDescent="0.3">
      <c r="A14" s="52"/>
      <c r="B14" s="176"/>
      <c r="C14" s="180"/>
      <c r="D14" s="178"/>
      <c r="E14" s="178"/>
      <c r="F14" s="182"/>
      <c r="G14" s="176"/>
      <c r="H14" s="153" t="s">
        <v>572</v>
      </c>
      <c r="I14" s="30" t="s">
        <v>247</v>
      </c>
      <c r="J14" s="20">
        <v>40</v>
      </c>
      <c r="K14" s="115">
        <v>45643</v>
      </c>
      <c r="M14" t="s">
        <v>522</v>
      </c>
      <c r="N14" s="20">
        <v>10.25</v>
      </c>
    </row>
    <row r="15" spans="1:14" ht="14.4" customHeight="1" x14ac:dyDescent="0.3">
      <c r="A15" s="52"/>
      <c r="B15" s="176"/>
      <c r="C15" s="180"/>
      <c r="D15" s="178"/>
      <c r="E15" s="178"/>
      <c r="F15" s="182"/>
      <c r="G15" s="176"/>
      <c r="H15" s="153" t="s">
        <v>573</v>
      </c>
      <c r="I15" s="30" t="s">
        <v>247</v>
      </c>
      <c r="J15" s="20">
        <v>60</v>
      </c>
      <c r="K15" s="115">
        <v>45643</v>
      </c>
      <c r="M15" t="s">
        <v>263</v>
      </c>
      <c r="N15" s="20">
        <v>17.32</v>
      </c>
    </row>
    <row r="16" spans="1:14" ht="14.4" customHeight="1" x14ac:dyDescent="0.3">
      <c r="A16" s="52"/>
      <c r="D16" s="20"/>
      <c r="E16" s="20"/>
      <c r="F16" s="105"/>
      <c r="H16" s="153" t="s">
        <v>574</v>
      </c>
      <c r="I16" s="30" t="s">
        <v>247</v>
      </c>
      <c r="J16" s="20">
        <v>120</v>
      </c>
      <c r="K16" s="115">
        <v>45643</v>
      </c>
      <c r="M16" t="s">
        <v>523</v>
      </c>
      <c r="N16" s="20">
        <v>7</v>
      </c>
    </row>
    <row r="17" spans="1:14" ht="14.4" customHeight="1" x14ac:dyDescent="0.3">
      <c r="A17" s="52"/>
      <c r="D17" s="20"/>
      <c r="E17" s="20"/>
      <c r="F17" s="105"/>
      <c r="H17" s="153" t="s">
        <v>575</v>
      </c>
      <c r="I17" s="30" t="s">
        <v>247</v>
      </c>
      <c r="J17" s="20">
        <v>40</v>
      </c>
      <c r="K17" s="115">
        <v>45643</v>
      </c>
      <c r="M17" s="40" t="s">
        <v>524</v>
      </c>
      <c r="N17" s="20">
        <v>7</v>
      </c>
    </row>
    <row r="18" spans="1:14" ht="14.4" customHeight="1" x14ac:dyDescent="0.3">
      <c r="A18" s="52"/>
      <c r="D18" s="20"/>
      <c r="E18" s="20"/>
      <c r="F18" s="105"/>
      <c r="H18" s="153" t="s">
        <v>576</v>
      </c>
      <c r="I18" s="30" t="s">
        <v>247</v>
      </c>
      <c r="J18" s="20">
        <v>48</v>
      </c>
      <c r="K18" s="115">
        <v>45643</v>
      </c>
      <c r="N18" s="53">
        <f>SUM(N10:N17)</f>
        <v>81.710000000000008</v>
      </c>
    </row>
    <row r="19" spans="1:14" ht="14.4" customHeight="1" x14ac:dyDescent="0.3">
      <c r="A19" s="52"/>
      <c r="D19" s="20"/>
      <c r="E19" s="20"/>
      <c r="F19" s="105"/>
      <c r="H19" s="153" t="s">
        <v>577</v>
      </c>
      <c r="I19" s="30" t="s">
        <v>247</v>
      </c>
      <c r="J19" s="20">
        <v>80</v>
      </c>
      <c r="K19" s="115">
        <v>45643</v>
      </c>
      <c r="N19" s="53"/>
    </row>
    <row r="20" spans="1:14" ht="14.4" customHeight="1" x14ac:dyDescent="0.3">
      <c r="A20" s="52"/>
      <c r="D20" s="20"/>
      <c r="E20" s="20"/>
      <c r="F20" s="105"/>
      <c r="H20" s="153" t="s">
        <v>578</v>
      </c>
      <c r="I20" s="30" t="s">
        <v>247</v>
      </c>
      <c r="J20" s="20">
        <v>80</v>
      </c>
      <c r="K20" s="115">
        <v>45643</v>
      </c>
      <c r="N20" s="53"/>
    </row>
    <row r="21" spans="1:14" ht="14.4" customHeight="1" x14ac:dyDescent="0.3">
      <c r="A21" s="52"/>
      <c r="D21" s="20"/>
      <c r="E21" s="20"/>
      <c r="F21" s="105"/>
      <c r="H21" s="153" t="s">
        <v>579</v>
      </c>
      <c r="I21" s="30" t="s">
        <v>247</v>
      </c>
      <c r="J21" s="20">
        <v>60</v>
      </c>
      <c r="K21" s="115">
        <v>45643</v>
      </c>
      <c r="N21" s="53"/>
    </row>
    <row r="22" spans="1:14" ht="14.4" customHeight="1" x14ac:dyDescent="0.3">
      <c r="A22" s="52"/>
      <c r="D22" s="20"/>
      <c r="E22" s="20"/>
      <c r="F22" s="105"/>
      <c r="H22" s="153" t="s">
        <v>580</v>
      </c>
      <c r="I22" s="30" t="s">
        <v>247</v>
      </c>
      <c r="J22" s="20">
        <v>63</v>
      </c>
      <c r="K22" s="115">
        <v>45643</v>
      </c>
      <c r="N22" s="53"/>
    </row>
    <row r="23" spans="1:14" ht="14.4" customHeight="1" x14ac:dyDescent="0.3">
      <c r="A23" s="52"/>
      <c r="D23" s="20"/>
      <c r="E23" s="20"/>
      <c r="F23" s="105"/>
      <c r="H23" s="153" t="s">
        <v>581</v>
      </c>
      <c r="I23" s="30" t="s">
        <v>247</v>
      </c>
      <c r="J23" s="20">
        <v>40</v>
      </c>
      <c r="K23" s="115">
        <v>45643</v>
      </c>
      <c r="N23" s="53"/>
    </row>
    <row r="24" spans="1:14" ht="14.4" customHeight="1" x14ac:dyDescent="0.3">
      <c r="A24" s="52"/>
      <c r="D24" s="20"/>
      <c r="E24" s="20"/>
      <c r="F24" s="105"/>
      <c r="H24" s="153" t="s">
        <v>582</v>
      </c>
      <c r="I24" s="30" t="s">
        <v>247</v>
      </c>
      <c r="J24" s="20">
        <v>60</v>
      </c>
      <c r="K24" s="115">
        <v>45643</v>
      </c>
      <c r="N24" s="53"/>
    </row>
    <row r="25" spans="1:14" ht="14.4" customHeight="1" x14ac:dyDescent="0.3">
      <c r="A25" s="52"/>
      <c r="D25" s="20"/>
      <c r="E25" s="20"/>
      <c r="F25" s="105"/>
      <c r="H25" s="153" t="s">
        <v>583</v>
      </c>
      <c r="I25" s="30" t="s">
        <v>247</v>
      </c>
      <c r="J25" s="20">
        <v>80</v>
      </c>
      <c r="K25" s="115">
        <v>45643</v>
      </c>
      <c r="N25" s="53"/>
    </row>
    <row r="26" spans="1:14" ht="14.4" customHeight="1" x14ac:dyDescent="0.3">
      <c r="A26" s="52"/>
      <c r="D26" s="20"/>
      <c r="E26" s="20"/>
      <c r="F26" s="105"/>
      <c r="H26" s="153" t="s">
        <v>584</v>
      </c>
      <c r="I26" s="30" t="s">
        <v>247</v>
      </c>
      <c r="J26" s="20">
        <v>80</v>
      </c>
      <c r="K26" s="115">
        <v>45643</v>
      </c>
      <c r="N26" s="53"/>
    </row>
    <row r="27" spans="1:14" ht="14.4" customHeight="1" x14ac:dyDescent="0.3">
      <c r="A27" s="52"/>
      <c r="D27" s="20"/>
      <c r="E27" s="20"/>
      <c r="F27" s="105"/>
      <c r="H27" s="153" t="s">
        <v>585</v>
      </c>
      <c r="I27" s="30" t="s">
        <v>247</v>
      </c>
      <c r="J27" s="20">
        <v>40</v>
      </c>
      <c r="K27" s="115">
        <v>45643</v>
      </c>
    </row>
    <row r="28" spans="1:14" ht="14.4" customHeight="1" x14ac:dyDescent="0.3">
      <c r="A28" s="52"/>
      <c r="D28" s="20"/>
      <c r="E28" s="20"/>
      <c r="F28" s="105"/>
      <c r="H28" s="153" t="s">
        <v>586</v>
      </c>
      <c r="I28" s="30" t="s">
        <v>247</v>
      </c>
      <c r="J28" s="20">
        <v>56</v>
      </c>
      <c r="K28" s="115">
        <v>45645</v>
      </c>
    </row>
    <row r="29" spans="1:14" ht="14.4" customHeight="1" x14ac:dyDescent="0.3">
      <c r="A29" s="52"/>
      <c r="D29" s="20"/>
      <c r="E29" s="20"/>
      <c r="F29" s="105"/>
      <c r="H29" t="s">
        <v>526</v>
      </c>
      <c r="I29" s="30" t="s">
        <v>247</v>
      </c>
      <c r="J29" s="20">
        <v>258.98</v>
      </c>
      <c r="K29" s="115">
        <v>45722</v>
      </c>
    </row>
    <row r="30" spans="1:14" ht="14.4" customHeight="1" x14ac:dyDescent="0.3">
      <c r="A30" s="52"/>
      <c r="D30" s="20"/>
      <c r="E30" s="20"/>
      <c r="F30" s="105"/>
      <c r="H30" t="s">
        <v>525</v>
      </c>
      <c r="I30" s="30" t="s">
        <v>247</v>
      </c>
      <c r="J30" s="20">
        <v>102</v>
      </c>
      <c r="K30" s="115">
        <v>45747</v>
      </c>
    </row>
    <row r="31" spans="1:14" ht="14.4" customHeight="1" x14ac:dyDescent="0.3">
      <c r="A31" s="52"/>
      <c r="D31" s="20"/>
      <c r="E31" s="20"/>
      <c r="F31" s="105"/>
      <c r="H31" s="176"/>
      <c r="I31" s="177"/>
      <c r="J31" s="178"/>
      <c r="K31" s="183"/>
    </row>
    <row r="32" spans="1:14" ht="14.4" customHeight="1" x14ac:dyDescent="0.3">
      <c r="A32" s="45"/>
      <c r="D32" s="20"/>
      <c r="H32" s="176"/>
      <c r="I32" s="180"/>
      <c r="J32" s="178"/>
      <c r="K32" s="183"/>
    </row>
    <row r="33" spans="1:14" ht="14.4" customHeight="1" x14ac:dyDescent="0.3">
      <c r="A33" s="45"/>
      <c r="D33" s="20"/>
      <c r="H33" s="176"/>
      <c r="I33" s="180"/>
      <c r="J33" s="178"/>
      <c r="K33" s="183"/>
      <c r="N33" s="53"/>
    </row>
    <row r="34" spans="1:14" ht="14.4" customHeight="1" x14ac:dyDescent="0.3">
      <c r="A34" s="45"/>
      <c r="D34" s="20"/>
      <c r="H34" s="176"/>
      <c r="I34" s="180"/>
      <c r="J34" s="178"/>
      <c r="K34" s="183"/>
      <c r="N34" s="53"/>
    </row>
    <row r="35" spans="1:14" ht="14.4" customHeight="1" x14ac:dyDescent="0.3">
      <c r="A35" s="45"/>
      <c r="D35" s="20"/>
      <c r="H35" s="176"/>
      <c r="I35" s="180"/>
      <c r="J35" s="176"/>
      <c r="K35" s="183"/>
      <c r="N35" s="53"/>
    </row>
    <row r="36" spans="1:14" ht="14.4" customHeight="1" x14ac:dyDescent="0.3">
      <c r="A36" s="45"/>
      <c r="D36" s="20"/>
      <c r="H36" s="176"/>
      <c r="I36" s="180"/>
      <c r="J36" s="176"/>
      <c r="K36" s="183"/>
      <c r="N36" s="53"/>
    </row>
    <row r="37" spans="1:14" ht="14.4" customHeight="1" x14ac:dyDescent="0.3">
      <c r="A37" s="45"/>
      <c r="D37" s="20"/>
      <c r="H37" s="176"/>
      <c r="I37" s="180"/>
      <c r="J37" s="178"/>
      <c r="K37" s="183"/>
      <c r="N37" s="53"/>
    </row>
    <row r="38" spans="1:14" ht="14.4" customHeight="1" x14ac:dyDescent="0.3">
      <c r="A38" s="45"/>
      <c r="D38" s="20"/>
      <c r="J38" s="20"/>
      <c r="N38" s="53"/>
    </row>
    <row r="39" spans="1:14" ht="14.4" customHeight="1" x14ac:dyDescent="0.3">
      <c r="A39" s="45"/>
      <c r="J39" s="20"/>
    </row>
    <row r="40" spans="1:14" ht="14.4" customHeight="1" x14ac:dyDescent="0.3">
      <c r="A40" s="45"/>
    </row>
    <row r="41" spans="1:14" ht="14.4" customHeight="1" x14ac:dyDescent="0.3">
      <c r="A41" s="45"/>
      <c r="B41" t="s">
        <v>502</v>
      </c>
      <c r="F41" s="53">
        <f>SUM(F5:F40)</f>
        <v>0</v>
      </c>
      <c r="H41" t="s">
        <v>502</v>
      </c>
      <c r="J41" s="53">
        <f>SUM(J5:J40)</f>
        <v>2253.19</v>
      </c>
    </row>
    <row r="42" spans="1:14" s="55" customFormat="1" x14ac:dyDescent="0.3">
      <c r="C42" s="56"/>
      <c r="I42" s="56"/>
      <c r="K42" s="116"/>
    </row>
    <row r="44" spans="1:14" s="59" customFormat="1" x14ac:dyDescent="0.3">
      <c r="A44" s="59" t="s">
        <v>79</v>
      </c>
      <c r="C44" s="60"/>
      <c r="F44" s="61">
        <f>F41</f>
        <v>0</v>
      </c>
      <c r="I44" s="60"/>
      <c r="J44" s="61">
        <f>J41</f>
        <v>2253.19</v>
      </c>
      <c r="K44" s="117"/>
    </row>
  </sheetData>
  <mergeCells count="4">
    <mergeCell ref="A1:J1"/>
    <mergeCell ref="B3:F3"/>
    <mergeCell ref="H3:J3"/>
    <mergeCell ref="A5:A10"/>
  </mergeCells>
  <pageMargins left="0.7" right="0.7" top="0.75" bottom="0.75" header="0.3" footer="0.3"/>
  <pageSetup scale="65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7000A-4543-4EB2-ADE8-96E7E1208D08}">
  <sheetPr>
    <tabColor rgb="FF7030A0"/>
    <pageSetUpPr fitToPage="1"/>
  </sheetPr>
  <dimension ref="A1:N44"/>
  <sheetViews>
    <sheetView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I30" sqref="I30"/>
    </sheetView>
  </sheetViews>
  <sheetFormatPr defaultColWidth="8.6640625" defaultRowHeight="14.4" x14ac:dyDescent="0.3"/>
  <cols>
    <col min="1" max="1" width="16.5546875" customWidth="1"/>
    <col min="2" max="2" width="25.88671875" customWidth="1"/>
    <col min="3" max="3" width="10.6640625" style="30" customWidth="1"/>
    <col min="4" max="4" width="8.88671875" bestFit="1" customWidth="1"/>
    <col min="6" max="6" width="8.88671875" bestFit="1" customWidth="1"/>
    <col min="8" max="8" width="49.44140625" customWidth="1"/>
    <col min="9" max="9" width="15.33203125" style="30" customWidth="1"/>
    <col min="10" max="10" width="11.6640625" customWidth="1"/>
    <col min="11" max="11" width="8.6640625" style="115"/>
    <col min="12" max="12" width="4.33203125" customWidth="1"/>
    <col min="13" max="13" width="27.5546875" customWidth="1"/>
  </cols>
  <sheetData>
    <row r="1" spans="1:14" ht="24" customHeight="1" x14ac:dyDescent="0.3">
      <c r="A1" s="173" t="s">
        <v>500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4" ht="24" customHeight="1" x14ac:dyDescent="0.35">
      <c r="A2" s="54"/>
      <c r="B2" s="54"/>
      <c r="C2" s="54"/>
      <c r="D2" s="54"/>
      <c r="E2" s="54"/>
      <c r="F2" s="54"/>
      <c r="G2" s="54"/>
      <c r="H2" s="54"/>
    </row>
    <row r="3" spans="1:14" ht="15.6" x14ac:dyDescent="0.3">
      <c r="B3" s="171" t="s">
        <v>59</v>
      </c>
      <c r="C3" s="171"/>
      <c r="D3" s="171"/>
      <c r="E3" s="171"/>
      <c r="F3" s="171"/>
      <c r="H3" s="172" t="s">
        <v>68</v>
      </c>
      <c r="I3" s="172"/>
      <c r="J3" s="172"/>
    </row>
    <row r="4" spans="1:14" s="2" customFormat="1" ht="46.8" x14ac:dyDescent="0.3">
      <c r="A4" s="50"/>
      <c r="B4" s="51" t="s">
        <v>58</v>
      </c>
      <c r="C4" s="52" t="s">
        <v>53</v>
      </c>
      <c r="D4" s="51" t="s">
        <v>196</v>
      </c>
      <c r="E4" s="51" t="s">
        <v>195</v>
      </c>
      <c r="F4" s="51" t="s">
        <v>63</v>
      </c>
      <c r="H4" s="51" t="s">
        <v>58</v>
      </c>
      <c r="I4" s="52" t="s">
        <v>67</v>
      </c>
      <c r="J4" s="51" t="s">
        <v>66</v>
      </c>
      <c r="K4" s="114" t="s">
        <v>0</v>
      </c>
    </row>
    <row r="5" spans="1:14" ht="14.4" customHeight="1" x14ac:dyDescent="0.3">
      <c r="A5" s="170" t="s">
        <v>501</v>
      </c>
      <c r="B5" s="176" t="s">
        <v>503</v>
      </c>
      <c r="C5" s="180">
        <v>2</v>
      </c>
      <c r="D5" s="178">
        <f>C5*25-E5</f>
        <v>25</v>
      </c>
      <c r="E5" s="178">
        <v>25</v>
      </c>
      <c r="F5" s="182">
        <f>SUM(D5:E5)</f>
        <v>50</v>
      </c>
      <c r="H5" s="176" t="s">
        <v>509</v>
      </c>
      <c r="I5" s="177" t="s">
        <v>247</v>
      </c>
      <c r="J5" s="178">
        <v>85</v>
      </c>
      <c r="K5" s="183">
        <v>45813</v>
      </c>
      <c r="M5" s="150" t="s">
        <v>515</v>
      </c>
    </row>
    <row r="6" spans="1:14" ht="14.4" customHeight="1" x14ac:dyDescent="0.3">
      <c r="A6" s="170"/>
      <c r="B6" s="176" t="s">
        <v>504</v>
      </c>
      <c r="C6" s="180">
        <v>2</v>
      </c>
      <c r="D6" s="178">
        <f>C6*20-E6</f>
        <v>40</v>
      </c>
      <c r="E6" s="178"/>
      <c r="F6" s="182">
        <f t="shared" ref="F6:F9" si="0">SUM(D6:E6)</f>
        <v>40</v>
      </c>
      <c r="H6" s="176" t="s">
        <v>512</v>
      </c>
      <c r="I6" s="180" t="s">
        <v>247</v>
      </c>
      <c r="J6" s="178">
        <v>340</v>
      </c>
      <c r="K6" s="183">
        <v>45841</v>
      </c>
      <c r="M6" t="s">
        <v>516</v>
      </c>
      <c r="N6" s="20">
        <v>1.96</v>
      </c>
    </row>
    <row r="7" spans="1:14" ht="14.4" customHeight="1" x14ac:dyDescent="0.3">
      <c r="A7" s="170"/>
      <c r="B7" s="176" t="s">
        <v>507</v>
      </c>
      <c r="C7" s="180">
        <v>1</v>
      </c>
      <c r="D7" s="178">
        <f>C7*15-E7</f>
        <v>0</v>
      </c>
      <c r="E7" s="178">
        <v>15</v>
      </c>
      <c r="F7" s="182">
        <f t="shared" si="0"/>
        <v>15</v>
      </c>
      <c r="H7" s="176" t="s">
        <v>513</v>
      </c>
      <c r="I7" s="180" t="s">
        <v>247</v>
      </c>
      <c r="J7" s="178">
        <v>250</v>
      </c>
      <c r="K7" s="183">
        <v>45852</v>
      </c>
      <c r="M7" t="s">
        <v>264</v>
      </c>
      <c r="N7" s="20">
        <v>10.8</v>
      </c>
    </row>
    <row r="8" spans="1:14" ht="14.4" customHeight="1" x14ac:dyDescent="0.3">
      <c r="A8" s="170"/>
      <c r="B8" s="176" t="s">
        <v>505</v>
      </c>
      <c r="C8" s="180">
        <v>4</v>
      </c>
      <c r="D8" s="178">
        <f>C8*10-E8</f>
        <v>20</v>
      </c>
      <c r="E8" s="178">
        <v>20</v>
      </c>
      <c r="F8" s="182">
        <f t="shared" si="0"/>
        <v>40</v>
      </c>
      <c r="H8" s="150" t="s">
        <v>514</v>
      </c>
      <c r="I8" s="180" t="s">
        <v>247</v>
      </c>
      <c r="J8" s="178">
        <v>21.03</v>
      </c>
      <c r="K8" s="183">
        <v>45842</v>
      </c>
      <c r="M8" t="s">
        <v>516</v>
      </c>
      <c r="N8" s="20">
        <v>2.36</v>
      </c>
    </row>
    <row r="9" spans="1:14" ht="14.4" customHeight="1" x14ac:dyDescent="0.3">
      <c r="A9" s="170"/>
      <c r="B9" s="176" t="s">
        <v>506</v>
      </c>
      <c r="C9" s="180">
        <v>5</v>
      </c>
      <c r="D9" s="178">
        <f>C9*5-E9</f>
        <v>15</v>
      </c>
      <c r="E9" s="178">
        <v>10</v>
      </c>
      <c r="F9" s="182">
        <f t="shared" si="0"/>
        <v>25</v>
      </c>
      <c r="H9" s="176"/>
      <c r="I9" s="180"/>
      <c r="J9" s="176"/>
      <c r="K9" s="183"/>
      <c r="M9" t="s">
        <v>264</v>
      </c>
      <c r="N9" s="20">
        <v>5.91</v>
      </c>
    </row>
    <row r="10" spans="1:14" ht="14.4" customHeight="1" x14ac:dyDescent="0.3">
      <c r="A10" s="170"/>
      <c r="B10" s="176"/>
      <c r="C10" s="180"/>
      <c r="D10" s="176"/>
      <c r="E10" s="176"/>
      <c r="F10" s="176"/>
      <c r="H10" s="153"/>
      <c r="J10" s="20"/>
      <c r="N10" s="53">
        <f>SUM(N6:N9)</f>
        <v>21.03</v>
      </c>
    </row>
    <row r="11" spans="1:14" ht="14.4" customHeight="1" x14ac:dyDescent="0.3">
      <c r="A11" s="52"/>
      <c r="B11" s="176"/>
      <c r="C11" s="180"/>
      <c r="D11" s="178"/>
      <c r="E11" s="178"/>
      <c r="F11" s="182"/>
      <c r="H11" s="153"/>
      <c r="J11" s="20"/>
      <c r="N11" s="20"/>
    </row>
    <row r="12" spans="1:14" ht="14.4" customHeight="1" x14ac:dyDescent="0.3">
      <c r="A12" s="52"/>
      <c r="B12" s="176"/>
      <c r="C12" s="180"/>
      <c r="D12" s="178"/>
      <c r="E12" s="178"/>
      <c r="F12" s="182"/>
      <c r="H12" s="153"/>
      <c r="J12" s="20"/>
      <c r="N12" s="20"/>
    </row>
    <row r="13" spans="1:14" ht="14.4" customHeight="1" x14ac:dyDescent="0.3">
      <c r="A13" s="52"/>
      <c r="B13" s="176"/>
      <c r="C13" s="180"/>
      <c r="D13" s="178">
        <f>SUM(D5:D12)</f>
        <v>100</v>
      </c>
      <c r="E13" s="178">
        <f>SUM(E5:E12)</f>
        <v>70</v>
      </c>
      <c r="F13" s="182"/>
      <c r="H13" s="153"/>
      <c r="J13" s="20"/>
      <c r="N13" s="20"/>
    </row>
    <row r="14" spans="1:14" ht="14.4" customHeight="1" x14ac:dyDescent="0.3">
      <c r="A14" s="52"/>
      <c r="B14" s="176"/>
      <c r="C14" s="180"/>
      <c r="D14" s="178"/>
      <c r="E14" s="178"/>
      <c r="F14" s="182"/>
      <c r="H14" s="153"/>
      <c r="J14" s="20"/>
      <c r="N14" s="20"/>
    </row>
    <row r="15" spans="1:14" ht="14.4" customHeight="1" x14ac:dyDescent="0.3">
      <c r="A15" s="52"/>
      <c r="D15" s="20"/>
      <c r="E15" s="20"/>
      <c r="F15" s="105"/>
      <c r="H15" s="153"/>
      <c r="J15" s="20"/>
      <c r="N15" s="20"/>
    </row>
    <row r="16" spans="1:14" ht="14.4" customHeight="1" x14ac:dyDescent="0.3">
      <c r="A16" s="52"/>
      <c r="D16" s="20"/>
      <c r="E16" s="20"/>
      <c r="F16" s="105"/>
      <c r="H16" s="153"/>
      <c r="J16" s="20"/>
      <c r="N16" s="20"/>
    </row>
    <row r="17" spans="1:14" ht="14.4" customHeight="1" x14ac:dyDescent="0.3">
      <c r="A17" s="52"/>
      <c r="D17" s="20"/>
      <c r="E17" s="20"/>
      <c r="F17" s="105"/>
      <c r="H17" s="153"/>
      <c r="J17" s="20"/>
      <c r="M17" s="40"/>
      <c r="N17" s="20"/>
    </row>
    <row r="18" spans="1:14" ht="14.4" customHeight="1" x14ac:dyDescent="0.3">
      <c r="A18" s="52"/>
      <c r="D18" s="20"/>
      <c r="E18" s="20"/>
      <c r="F18" s="105"/>
      <c r="H18" s="153"/>
      <c r="J18" s="20"/>
      <c r="N18" s="53"/>
    </row>
    <row r="19" spans="1:14" ht="14.4" customHeight="1" x14ac:dyDescent="0.3">
      <c r="A19" s="52"/>
      <c r="D19" s="20"/>
      <c r="E19" s="20"/>
      <c r="F19" s="105"/>
      <c r="H19" s="153"/>
      <c r="J19" s="20"/>
      <c r="N19" s="53"/>
    </row>
    <row r="20" spans="1:14" ht="14.4" customHeight="1" x14ac:dyDescent="0.3">
      <c r="A20" s="52"/>
      <c r="D20" s="20"/>
      <c r="E20" s="20"/>
      <c r="F20" s="105"/>
      <c r="H20" s="153"/>
      <c r="J20" s="20"/>
      <c r="N20" s="53"/>
    </row>
    <row r="21" spans="1:14" ht="14.4" customHeight="1" x14ac:dyDescent="0.3">
      <c r="A21" s="52"/>
      <c r="D21" s="20"/>
      <c r="E21" s="20"/>
      <c r="F21" s="105"/>
      <c r="H21" s="153"/>
      <c r="J21" s="20"/>
      <c r="N21" s="53"/>
    </row>
    <row r="22" spans="1:14" ht="14.4" customHeight="1" x14ac:dyDescent="0.3">
      <c r="A22" s="52"/>
      <c r="D22" s="20"/>
      <c r="E22" s="20"/>
      <c r="F22" s="105"/>
      <c r="H22" s="153"/>
      <c r="J22" s="20"/>
      <c r="N22" s="53"/>
    </row>
    <row r="23" spans="1:14" ht="14.4" customHeight="1" x14ac:dyDescent="0.3">
      <c r="A23" s="52"/>
      <c r="D23" s="20"/>
      <c r="E23" s="20"/>
      <c r="F23" s="105"/>
      <c r="H23" s="153"/>
      <c r="J23" s="20"/>
      <c r="N23" s="53"/>
    </row>
    <row r="24" spans="1:14" ht="14.4" customHeight="1" x14ac:dyDescent="0.3">
      <c r="A24" s="52"/>
      <c r="D24" s="20"/>
      <c r="E24" s="20"/>
      <c r="F24" s="105"/>
      <c r="H24" s="153"/>
      <c r="J24" s="20"/>
      <c r="N24" s="53"/>
    </row>
    <row r="25" spans="1:14" ht="14.4" customHeight="1" x14ac:dyDescent="0.3">
      <c r="A25" s="52"/>
      <c r="D25" s="20"/>
      <c r="E25" s="20"/>
      <c r="F25" s="105"/>
      <c r="H25" s="153"/>
      <c r="J25" s="20"/>
      <c r="N25" s="53"/>
    </row>
    <row r="26" spans="1:14" ht="14.4" customHeight="1" x14ac:dyDescent="0.3">
      <c r="A26" s="52"/>
      <c r="D26" s="20"/>
      <c r="E26" s="20"/>
      <c r="F26" s="105"/>
      <c r="H26" s="153"/>
      <c r="J26" s="20"/>
      <c r="N26" s="53"/>
    </row>
    <row r="27" spans="1:14" ht="14.4" customHeight="1" x14ac:dyDescent="0.3">
      <c r="A27" s="52"/>
      <c r="D27" s="20"/>
      <c r="E27" s="20"/>
      <c r="F27" s="105"/>
      <c r="H27" s="153"/>
      <c r="J27" s="20"/>
      <c r="M27" s="176"/>
    </row>
    <row r="28" spans="1:14" ht="14.4" customHeight="1" x14ac:dyDescent="0.3">
      <c r="A28" s="52"/>
      <c r="D28" s="20"/>
      <c r="E28" s="20"/>
      <c r="F28" s="105"/>
      <c r="H28" s="153"/>
      <c r="J28" s="20"/>
      <c r="N28" s="20"/>
    </row>
    <row r="29" spans="1:14" ht="14.4" customHeight="1" x14ac:dyDescent="0.3">
      <c r="A29" s="52"/>
      <c r="D29" s="20"/>
      <c r="E29" s="20"/>
      <c r="F29" s="105"/>
      <c r="J29" s="20"/>
      <c r="N29" s="20"/>
    </row>
    <row r="30" spans="1:14" ht="14.4" customHeight="1" x14ac:dyDescent="0.3">
      <c r="A30" s="52"/>
      <c r="D30" s="20"/>
      <c r="E30" s="20"/>
      <c r="F30" s="105"/>
      <c r="J30" s="20"/>
      <c r="N30" s="20"/>
    </row>
    <row r="31" spans="1:14" ht="14.4" customHeight="1" x14ac:dyDescent="0.3">
      <c r="A31" s="52"/>
      <c r="D31" s="20"/>
      <c r="E31" s="20"/>
      <c r="F31" s="105"/>
      <c r="N31" s="20"/>
    </row>
    <row r="32" spans="1:14" ht="14.4" customHeight="1" x14ac:dyDescent="0.3">
      <c r="A32" s="45"/>
      <c r="D32" s="20"/>
      <c r="N32" s="53"/>
    </row>
    <row r="33" spans="1:14" ht="14.4" customHeight="1" x14ac:dyDescent="0.3">
      <c r="A33" s="45"/>
      <c r="D33" s="20"/>
      <c r="N33" s="53"/>
    </row>
    <row r="34" spans="1:14" ht="14.4" customHeight="1" x14ac:dyDescent="0.3">
      <c r="A34" s="45"/>
      <c r="D34" s="20"/>
      <c r="N34" s="53"/>
    </row>
    <row r="35" spans="1:14" ht="14.4" customHeight="1" x14ac:dyDescent="0.3">
      <c r="A35" s="45"/>
      <c r="D35" s="20"/>
      <c r="N35" s="53"/>
    </row>
    <row r="36" spans="1:14" ht="14.4" customHeight="1" x14ac:dyDescent="0.3">
      <c r="A36" s="45"/>
      <c r="D36" s="20"/>
      <c r="H36" s="176"/>
      <c r="N36" s="53"/>
    </row>
    <row r="37" spans="1:14" ht="14.4" customHeight="1" x14ac:dyDescent="0.3">
      <c r="A37" s="45"/>
      <c r="D37" s="20"/>
      <c r="J37" s="20"/>
      <c r="N37" s="53"/>
    </row>
    <row r="38" spans="1:14" ht="14.4" customHeight="1" x14ac:dyDescent="0.3">
      <c r="A38" s="45"/>
      <c r="D38" s="20"/>
      <c r="J38" s="20"/>
      <c r="N38" s="53"/>
    </row>
    <row r="39" spans="1:14" ht="14.4" customHeight="1" x14ac:dyDescent="0.3">
      <c r="A39" s="45"/>
      <c r="J39" s="20"/>
    </row>
    <row r="40" spans="1:14" ht="14.4" customHeight="1" x14ac:dyDescent="0.3">
      <c r="A40" s="45"/>
    </row>
    <row r="41" spans="1:14" ht="14.4" customHeight="1" x14ac:dyDescent="0.3">
      <c r="A41" s="45"/>
      <c r="B41" t="s">
        <v>502</v>
      </c>
      <c r="F41" s="53">
        <f>SUM(F5:F40)</f>
        <v>170</v>
      </c>
      <c r="H41" t="s">
        <v>502</v>
      </c>
      <c r="J41" s="53">
        <f>SUM(J5:J40)</f>
        <v>696.03</v>
      </c>
    </row>
    <row r="42" spans="1:14" s="55" customFormat="1" x14ac:dyDescent="0.3">
      <c r="C42" s="56"/>
      <c r="I42" s="56"/>
      <c r="K42" s="116"/>
    </row>
    <row r="44" spans="1:14" s="59" customFormat="1" x14ac:dyDescent="0.3">
      <c r="A44" s="59" t="s">
        <v>79</v>
      </c>
      <c r="C44" s="60"/>
      <c r="F44" s="61">
        <f>F41</f>
        <v>170</v>
      </c>
      <c r="I44" s="60"/>
      <c r="J44" s="61">
        <f>J41</f>
        <v>696.03</v>
      </c>
      <c r="K44" s="117"/>
    </row>
  </sheetData>
  <mergeCells count="4">
    <mergeCell ref="A1:J1"/>
    <mergeCell ref="B3:F3"/>
    <mergeCell ref="H3:J3"/>
    <mergeCell ref="A5:A10"/>
  </mergeCells>
  <pageMargins left="0.7" right="0.7" top="0.75" bottom="0.75" header="0.3" footer="0.3"/>
  <pageSetup scale="65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P57"/>
  <sheetViews>
    <sheetView workbookViewId="0">
      <pane xSplit="1" ySplit="4" topLeftCell="C44" activePane="bottomRight" state="frozen"/>
      <selection pane="topRight" activeCell="B1" sqref="B1"/>
      <selection pane="bottomLeft" activeCell="A5" sqref="A5"/>
      <selection pane="bottomRight" activeCell="J10" sqref="J10"/>
    </sheetView>
  </sheetViews>
  <sheetFormatPr defaultRowHeight="14.4" x14ac:dyDescent="0.3"/>
  <cols>
    <col min="1" max="1" width="15.33203125" customWidth="1"/>
    <col min="2" max="2" width="28.33203125" customWidth="1"/>
    <col min="3" max="4" width="11.109375" customWidth="1"/>
    <col min="5" max="5" width="12.5546875" customWidth="1"/>
    <col min="6" max="6" width="11.33203125" customWidth="1"/>
    <col min="7" max="7" width="10.33203125" customWidth="1"/>
    <col min="8" max="8" width="13.33203125" customWidth="1"/>
    <col min="10" max="10" width="37.5546875" customWidth="1"/>
    <col min="11" max="11" width="17.109375" style="30" customWidth="1"/>
    <col min="12" max="12" width="14.88671875" customWidth="1"/>
    <col min="13" max="13" width="11.77734375" style="122" customWidth="1"/>
    <col min="14" max="14" width="21.5546875" customWidth="1"/>
  </cols>
  <sheetData>
    <row r="1" spans="1:16" ht="24" customHeight="1" x14ac:dyDescent="0.3">
      <c r="A1" s="173" t="s">
        <v>205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6" ht="24" customHeight="1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</row>
    <row r="3" spans="1:16" ht="15.6" x14ac:dyDescent="0.3">
      <c r="B3" s="171" t="s">
        <v>59</v>
      </c>
      <c r="C3" s="171"/>
      <c r="D3" s="171"/>
      <c r="E3" s="171"/>
      <c r="F3" s="171"/>
      <c r="G3" s="171"/>
      <c r="H3" s="171"/>
      <c r="J3" s="172" t="s">
        <v>68</v>
      </c>
      <c r="K3" s="172"/>
      <c r="L3" s="172"/>
    </row>
    <row r="4" spans="1:16" s="2" customFormat="1" ht="31.2" x14ac:dyDescent="0.3">
      <c r="A4" s="50"/>
      <c r="B4" s="51" t="s">
        <v>58</v>
      </c>
      <c r="C4" s="52" t="s">
        <v>53</v>
      </c>
      <c r="D4" s="52" t="s">
        <v>0</v>
      </c>
      <c r="E4" s="51" t="s">
        <v>196</v>
      </c>
      <c r="F4" s="51" t="s">
        <v>449</v>
      </c>
      <c r="G4" s="51" t="s">
        <v>195</v>
      </c>
      <c r="H4" s="51" t="s">
        <v>63</v>
      </c>
      <c r="J4" s="51" t="s">
        <v>58</v>
      </c>
      <c r="K4" s="52" t="s">
        <v>67</v>
      </c>
      <c r="L4" s="51" t="s">
        <v>66</v>
      </c>
      <c r="M4" s="123" t="s">
        <v>0</v>
      </c>
    </row>
    <row r="5" spans="1:16" s="2" customFormat="1" ht="15.6" x14ac:dyDescent="0.3">
      <c r="A5" s="50"/>
      <c r="B5" s="51"/>
      <c r="C5" s="52"/>
      <c r="D5" s="52"/>
      <c r="E5" s="51"/>
      <c r="G5" s="51"/>
      <c r="H5" s="51"/>
      <c r="J5" s="89"/>
      <c r="K5" s="52"/>
      <c r="L5" s="51"/>
      <c r="M5" s="122"/>
    </row>
    <row r="6" spans="1:16" ht="35.25" customHeight="1" x14ac:dyDescent="0.3">
      <c r="A6" s="170" t="s">
        <v>450</v>
      </c>
      <c r="B6" t="s">
        <v>438</v>
      </c>
      <c r="C6" s="30">
        <v>34</v>
      </c>
      <c r="D6" s="30"/>
      <c r="E6" s="20"/>
      <c r="G6" s="20"/>
      <c r="H6" s="47"/>
      <c r="J6" s="40" t="s">
        <v>207</v>
      </c>
      <c r="K6" s="67"/>
      <c r="L6" s="20"/>
    </row>
    <row r="7" spans="1:16" ht="15.6" customHeight="1" x14ac:dyDescent="0.3">
      <c r="A7" s="170"/>
      <c r="B7" t="s">
        <v>439</v>
      </c>
      <c r="C7" s="30">
        <v>59</v>
      </c>
      <c r="D7" s="30"/>
      <c r="E7" s="20"/>
      <c r="G7" s="20"/>
      <c r="H7" s="47"/>
      <c r="J7" t="s">
        <v>243</v>
      </c>
      <c r="K7" s="78" t="s">
        <v>247</v>
      </c>
      <c r="L7" s="20">
        <v>666.4</v>
      </c>
      <c r="M7" s="122">
        <v>45852</v>
      </c>
    </row>
    <row r="8" spans="1:16" ht="18" customHeight="1" x14ac:dyDescent="0.3">
      <c r="A8" s="170"/>
      <c r="C8" s="30"/>
      <c r="D8" s="30"/>
      <c r="E8" s="20"/>
      <c r="G8" s="20"/>
      <c r="H8" s="47"/>
      <c r="J8" t="s">
        <v>289</v>
      </c>
      <c r="K8" s="78" t="s">
        <v>247</v>
      </c>
      <c r="L8" s="20">
        <v>665.2</v>
      </c>
      <c r="M8" s="122">
        <v>45852</v>
      </c>
    </row>
    <row r="9" spans="1:16" x14ac:dyDescent="0.3">
      <c r="A9" s="170"/>
      <c r="B9" t="s">
        <v>440</v>
      </c>
      <c r="C9" s="30"/>
      <c r="D9" s="151">
        <v>45824</v>
      </c>
      <c r="E9" s="20">
        <v>20</v>
      </c>
      <c r="G9" s="20"/>
      <c r="H9" s="105">
        <f>E9+F9+G9</f>
        <v>20</v>
      </c>
      <c r="J9" t="s">
        <v>453</v>
      </c>
      <c r="K9" s="78" t="s">
        <v>247</v>
      </c>
      <c r="L9" s="20">
        <v>640</v>
      </c>
      <c r="M9" s="122">
        <v>45852</v>
      </c>
    </row>
    <row r="10" spans="1:16" x14ac:dyDescent="0.3">
      <c r="A10" s="170"/>
      <c r="B10" s="40" t="s">
        <v>441</v>
      </c>
      <c r="C10" s="30"/>
      <c r="D10" s="151">
        <v>45828</v>
      </c>
      <c r="E10" s="20">
        <v>100</v>
      </c>
      <c r="G10" s="20"/>
      <c r="H10" s="105">
        <f t="shared" ref="H10:H14" si="0">E10+F10+G10</f>
        <v>100</v>
      </c>
      <c r="J10" t="s">
        <v>242</v>
      </c>
      <c r="K10" s="78" t="s">
        <v>247</v>
      </c>
      <c r="L10" s="20">
        <v>697.6</v>
      </c>
      <c r="M10" s="122">
        <v>45852</v>
      </c>
      <c r="N10" s="63"/>
    </row>
    <row r="11" spans="1:16" x14ac:dyDescent="0.3">
      <c r="A11" s="170"/>
      <c r="B11" t="s">
        <v>442</v>
      </c>
      <c r="C11" s="30"/>
      <c r="D11" s="151">
        <v>45838</v>
      </c>
      <c r="E11" s="20">
        <v>160</v>
      </c>
      <c r="G11" s="20"/>
      <c r="H11" s="105">
        <f t="shared" si="0"/>
        <v>160</v>
      </c>
      <c r="J11" t="s">
        <v>454</v>
      </c>
      <c r="K11" s="78" t="s">
        <v>247</v>
      </c>
      <c r="L11" s="20">
        <v>640</v>
      </c>
      <c r="M11" s="122">
        <v>45852</v>
      </c>
      <c r="P11" s="90"/>
    </row>
    <row r="12" spans="1:16" x14ac:dyDescent="0.3">
      <c r="A12" s="170"/>
      <c r="B12" t="s">
        <v>443</v>
      </c>
      <c r="C12" s="30"/>
      <c r="D12" s="151">
        <v>45842</v>
      </c>
      <c r="E12" s="20">
        <v>80</v>
      </c>
      <c r="G12" s="20"/>
      <c r="H12" s="105">
        <f t="shared" si="0"/>
        <v>80</v>
      </c>
      <c r="J12" t="s">
        <v>455</v>
      </c>
      <c r="K12" s="78" t="s">
        <v>247</v>
      </c>
      <c r="L12" s="20">
        <v>661.6</v>
      </c>
      <c r="M12" s="122">
        <v>45852</v>
      </c>
      <c r="N12" s="20"/>
      <c r="P12" s="90"/>
    </row>
    <row r="13" spans="1:16" x14ac:dyDescent="0.3">
      <c r="A13" s="170"/>
      <c r="B13" t="s">
        <v>444</v>
      </c>
      <c r="C13" s="30"/>
      <c r="D13" s="151">
        <v>45845</v>
      </c>
      <c r="E13" s="20">
        <v>7177.7</v>
      </c>
      <c r="G13" s="20"/>
      <c r="H13" s="105">
        <f t="shared" si="0"/>
        <v>7177.7</v>
      </c>
      <c r="J13" t="s">
        <v>288</v>
      </c>
      <c r="K13" s="78" t="s">
        <v>247</v>
      </c>
      <c r="L13" s="20">
        <v>640</v>
      </c>
      <c r="M13" s="122">
        <v>45852</v>
      </c>
      <c r="P13" s="90"/>
    </row>
    <row r="14" spans="1:16" x14ac:dyDescent="0.3">
      <c r="A14" s="170"/>
      <c r="B14" t="s">
        <v>444</v>
      </c>
      <c r="D14" s="151">
        <v>45853</v>
      </c>
      <c r="E14" s="20">
        <v>275.39999999999998</v>
      </c>
      <c r="H14" s="105">
        <f t="shared" si="0"/>
        <v>275.39999999999998</v>
      </c>
      <c r="J14" t="s">
        <v>244</v>
      </c>
      <c r="K14" s="78" t="s">
        <v>247</v>
      </c>
      <c r="L14" s="20">
        <v>640</v>
      </c>
      <c r="M14" s="122">
        <v>45852</v>
      </c>
      <c r="P14" s="90"/>
    </row>
    <row r="15" spans="1:16" x14ac:dyDescent="0.3">
      <c r="A15" s="170"/>
      <c r="D15" s="151"/>
      <c r="E15" s="20"/>
      <c r="H15" s="105"/>
      <c r="J15" s="176" t="s">
        <v>710</v>
      </c>
      <c r="K15" s="177" t="s">
        <v>247</v>
      </c>
      <c r="L15" s="178">
        <v>640</v>
      </c>
      <c r="M15" s="179">
        <v>45852</v>
      </c>
      <c r="P15" s="90"/>
    </row>
    <row r="16" spans="1:16" x14ac:dyDescent="0.3">
      <c r="A16" s="170"/>
      <c r="K16" s="78"/>
      <c r="L16" s="20"/>
      <c r="P16" s="57"/>
    </row>
    <row r="17" spans="1:16" x14ac:dyDescent="0.3">
      <c r="A17" s="170"/>
      <c r="J17" t="s">
        <v>290</v>
      </c>
      <c r="K17" s="78" t="s">
        <v>247</v>
      </c>
      <c r="L17" s="20">
        <v>450</v>
      </c>
      <c r="M17" s="122">
        <v>45852</v>
      </c>
      <c r="P17" s="91"/>
    </row>
    <row r="18" spans="1:16" x14ac:dyDescent="0.3">
      <c r="A18" s="170"/>
      <c r="J18" t="s">
        <v>291</v>
      </c>
      <c r="K18" s="78" t="s">
        <v>247</v>
      </c>
      <c r="L18" s="20">
        <v>450</v>
      </c>
      <c r="M18" s="122">
        <v>45852</v>
      </c>
    </row>
    <row r="19" spans="1:16" x14ac:dyDescent="0.3">
      <c r="A19" s="170"/>
      <c r="C19" s="31">
        <f>SUM(C6:C13)</f>
        <v>93</v>
      </c>
      <c r="D19" s="31"/>
      <c r="E19" s="53">
        <f>SUM(E9:E14)</f>
        <v>7813.0999999999995</v>
      </c>
      <c r="F19" s="31"/>
      <c r="G19" s="53">
        <f>SUM(G6:G13)</f>
        <v>0</v>
      </c>
      <c r="H19" s="152">
        <f>SUM(H9:H14)</f>
        <v>7813.0999999999995</v>
      </c>
      <c r="J19" t="s">
        <v>456</v>
      </c>
      <c r="K19" s="78" t="s">
        <v>247</v>
      </c>
      <c r="L19" s="20">
        <v>450</v>
      </c>
      <c r="M19" s="122">
        <v>45852</v>
      </c>
    </row>
    <row r="20" spans="1:16" x14ac:dyDescent="0.3">
      <c r="A20" s="170"/>
      <c r="C20" s="67"/>
      <c r="D20" s="67"/>
      <c r="E20" s="57"/>
      <c r="F20" s="30"/>
      <c r="G20" s="57"/>
      <c r="H20" s="105"/>
      <c r="K20" s="78"/>
      <c r="L20" s="20"/>
    </row>
    <row r="21" spans="1:16" x14ac:dyDescent="0.3">
      <c r="A21" s="170"/>
      <c r="C21" s="30"/>
      <c r="D21" s="30"/>
      <c r="E21" s="20"/>
      <c r="F21" s="30"/>
      <c r="G21" s="20"/>
      <c r="H21" s="105"/>
      <c r="J21" t="s">
        <v>457</v>
      </c>
      <c r="K21" s="78" t="s">
        <v>247</v>
      </c>
      <c r="L21" s="20">
        <v>400</v>
      </c>
      <c r="M21" s="122">
        <v>45852</v>
      </c>
    </row>
    <row r="22" spans="1:16" ht="15.6" x14ac:dyDescent="0.3">
      <c r="A22" s="170"/>
      <c r="C22" s="30"/>
      <c r="D22" s="30"/>
      <c r="E22" s="51" t="s">
        <v>196</v>
      </c>
      <c r="F22" s="51" t="s">
        <v>445</v>
      </c>
      <c r="G22" s="51" t="s">
        <v>195</v>
      </c>
      <c r="H22" s="51" t="s">
        <v>63</v>
      </c>
      <c r="K22" s="78"/>
      <c r="L22" s="20"/>
    </row>
    <row r="23" spans="1:16" x14ac:dyDescent="0.3">
      <c r="A23" s="170"/>
      <c r="B23" t="s">
        <v>78</v>
      </c>
      <c r="C23" s="30"/>
      <c r="D23" s="30"/>
      <c r="E23" s="20">
        <v>20</v>
      </c>
      <c r="F23" s="44">
        <v>0</v>
      </c>
      <c r="G23" s="44">
        <v>436</v>
      </c>
      <c r="H23" s="105">
        <f t="shared" ref="H23:H27" si="1">E23+F23+G23</f>
        <v>456</v>
      </c>
      <c r="J23" t="s">
        <v>461</v>
      </c>
      <c r="K23" s="78" t="s">
        <v>247</v>
      </c>
      <c r="L23" s="20">
        <v>173.44</v>
      </c>
      <c r="M23" s="122">
        <v>45852</v>
      </c>
    </row>
    <row r="24" spans="1:16" x14ac:dyDescent="0.3">
      <c r="A24" s="170"/>
      <c r="B24" t="s">
        <v>286</v>
      </c>
      <c r="C24" s="30"/>
      <c r="D24" s="30"/>
      <c r="E24" s="20">
        <v>0</v>
      </c>
      <c r="F24" s="44">
        <v>0</v>
      </c>
      <c r="G24" s="44">
        <v>24</v>
      </c>
      <c r="H24" s="105">
        <f t="shared" si="1"/>
        <v>24</v>
      </c>
      <c r="K24" s="78"/>
      <c r="L24" s="20"/>
    </row>
    <row r="25" spans="1:16" x14ac:dyDescent="0.3">
      <c r="A25" s="170"/>
      <c r="B25" t="s">
        <v>80</v>
      </c>
      <c r="C25" s="30"/>
      <c r="D25" s="30"/>
      <c r="E25" s="20">
        <v>0</v>
      </c>
      <c r="F25" s="44">
        <v>0</v>
      </c>
      <c r="G25" s="44">
        <v>264.45999999999998</v>
      </c>
      <c r="H25" s="105">
        <f t="shared" si="1"/>
        <v>264.45999999999998</v>
      </c>
      <c r="J25" t="s">
        <v>458</v>
      </c>
      <c r="K25" s="78" t="s">
        <v>247</v>
      </c>
      <c r="L25" s="20">
        <v>85</v>
      </c>
      <c r="M25" s="122">
        <v>45852</v>
      </c>
    </row>
    <row r="26" spans="1:16" x14ac:dyDescent="0.3">
      <c r="A26" s="170"/>
      <c r="B26" t="s">
        <v>446</v>
      </c>
      <c r="C26" s="30"/>
      <c r="D26" s="30"/>
      <c r="E26" s="20">
        <v>0</v>
      </c>
      <c r="F26" s="44">
        <v>0</v>
      </c>
      <c r="G26" s="44">
        <v>55</v>
      </c>
      <c r="H26" s="105">
        <f t="shared" si="1"/>
        <v>55</v>
      </c>
      <c r="J26" t="s">
        <v>459</v>
      </c>
      <c r="K26" s="78" t="s">
        <v>247</v>
      </c>
      <c r="L26" s="20">
        <v>85</v>
      </c>
      <c r="M26" s="122">
        <v>45852</v>
      </c>
    </row>
    <row r="27" spans="1:16" x14ac:dyDescent="0.3">
      <c r="A27" s="170"/>
      <c r="B27" t="s">
        <v>447</v>
      </c>
      <c r="C27" s="30"/>
      <c r="D27" s="30"/>
      <c r="E27" s="44">
        <v>30</v>
      </c>
      <c r="F27" s="44">
        <v>0</v>
      </c>
      <c r="G27" s="44">
        <v>437</v>
      </c>
      <c r="H27" s="105">
        <f t="shared" si="1"/>
        <v>467</v>
      </c>
      <c r="J27" t="s">
        <v>460</v>
      </c>
      <c r="K27" s="78" t="s">
        <v>247</v>
      </c>
      <c r="L27" s="20">
        <v>85</v>
      </c>
      <c r="M27" s="122">
        <v>45852</v>
      </c>
    </row>
    <row r="28" spans="1:16" x14ac:dyDescent="0.3">
      <c r="A28" s="170"/>
      <c r="C28" s="30"/>
      <c r="D28" s="30"/>
      <c r="E28" s="49">
        <f>SUM(E23:E27)</f>
        <v>50</v>
      </c>
      <c r="F28" s="44">
        <f>SUM(F23:F27)</f>
        <v>0</v>
      </c>
      <c r="G28" s="49">
        <f>SUM(G23:G27)</f>
        <v>1216.46</v>
      </c>
      <c r="H28" s="44"/>
      <c r="N28" s="63"/>
    </row>
    <row r="29" spans="1:16" x14ac:dyDescent="0.3">
      <c r="A29" s="170"/>
      <c r="C29" s="30"/>
      <c r="D29" s="30"/>
      <c r="E29" s="20"/>
      <c r="F29" s="30"/>
      <c r="G29" s="20"/>
      <c r="H29" s="44"/>
      <c r="L29" s="53">
        <f>SUM(L7:L27)</f>
        <v>8069.2399999999989</v>
      </c>
      <c r="P29" s="20"/>
    </row>
    <row r="30" spans="1:16" x14ac:dyDescent="0.3">
      <c r="A30" s="170"/>
      <c r="C30" s="30"/>
      <c r="D30" s="30"/>
      <c r="E30" s="20"/>
      <c r="F30" s="30"/>
      <c r="G30" s="20"/>
      <c r="H30" s="152">
        <f>E28+F28+G28</f>
        <v>1266.46</v>
      </c>
      <c r="J30" s="89" t="s">
        <v>82</v>
      </c>
      <c r="L30" s="20"/>
      <c r="P30" s="20"/>
    </row>
    <row r="31" spans="1:16" x14ac:dyDescent="0.3">
      <c r="A31" s="170"/>
      <c r="J31" s="150" t="s">
        <v>292</v>
      </c>
      <c r="K31" s="78" t="s">
        <v>195</v>
      </c>
      <c r="L31" s="20">
        <v>326.77999999999997</v>
      </c>
      <c r="N31" s="149" t="s">
        <v>464</v>
      </c>
      <c r="P31" s="20"/>
    </row>
    <row r="32" spans="1:16" x14ac:dyDescent="0.3">
      <c r="A32" s="170"/>
      <c r="J32" t="s">
        <v>462</v>
      </c>
      <c r="K32" s="78" t="s">
        <v>247</v>
      </c>
      <c r="L32" s="20">
        <v>180</v>
      </c>
      <c r="M32" s="122">
        <v>45852</v>
      </c>
      <c r="N32" t="s">
        <v>465</v>
      </c>
      <c r="O32" s="20">
        <v>7.56</v>
      </c>
      <c r="P32" s="20"/>
    </row>
    <row r="33" spans="1:16" x14ac:dyDescent="0.3">
      <c r="A33" s="170"/>
      <c r="J33" s="176" t="s">
        <v>463</v>
      </c>
      <c r="K33" s="78"/>
      <c r="L33" s="20">
        <v>50</v>
      </c>
      <c r="M33" s="122">
        <v>45852</v>
      </c>
      <c r="N33" t="s">
        <v>465</v>
      </c>
      <c r="O33" s="20">
        <v>5.67</v>
      </c>
      <c r="P33" s="20"/>
    </row>
    <row r="34" spans="1:16" x14ac:dyDescent="0.3">
      <c r="A34" s="170"/>
      <c r="K34" s="20"/>
      <c r="N34" t="s">
        <v>466</v>
      </c>
      <c r="O34" s="20">
        <v>5</v>
      </c>
      <c r="P34" s="20"/>
    </row>
    <row r="35" spans="1:16" x14ac:dyDescent="0.3">
      <c r="A35" s="170"/>
      <c r="K35" s="20"/>
      <c r="L35" s="20"/>
      <c r="N35" t="s">
        <v>467</v>
      </c>
      <c r="O35" s="20">
        <v>14</v>
      </c>
      <c r="P35" s="20"/>
    </row>
    <row r="36" spans="1:16" x14ac:dyDescent="0.3">
      <c r="A36" s="170"/>
      <c r="N36" t="s">
        <v>468</v>
      </c>
      <c r="O36" s="20">
        <v>7.89</v>
      </c>
      <c r="P36" s="20"/>
    </row>
    <row r="37" spans="1:16" x14ac:dyDescent="0.3">
      <c r="A37" s="170"/>
      <c r="K37" s="78"/>
      <c r="L37" s="20"/>
      <c r="N37" t="s">
        <v>469</v>
      </c>
      <c r="O37" s="20">
        <v>54.5</v>
      </c>
      <c r="P37" s="20"/>
    </row>
    <row r="38" spans="1:16" ht="15.6" x14ac:dyDescent="0.3">
      <c r="A38" s="170"/>
      <c r="C38" s="30"/>
      <c r="D38" s="30"/>
      <c r="E38" s="20"/>
      <c r="F38" s="30"/>
      <c r="G38" s="20"/>
      <c r="H38" s="62"/>
      <c r="K38" s="78"/>
      <c r="L38" s="20"/>
      <c r="N38" t="s">
        <v>470</v>
      </c>
      <c r="O38" s="20">
        <v>3.99</v>
      </c>
      <c r="P38" s="20"/>
    </row>
    <row r="39" spans="1:16" ht="15.6" x14ac:dyDescent="0.3">
      <c r="A39" s="170"/>
      <c r="C39" s="30"/>
      <c r="D39" s="30"/>
      <c r="E39" s="20"/>
      <c r="F39" s="30"/>
      <c r="G39" s="20"/>
      <c r="H39" s="62"/>
      <c r="K39" s="78"/>
      <c r="L39" s="53">
        <f>SUM(L31:L38)</f>
        <v>556.78</v>
      </c>
      <c r="N39" t="s">
        <v>470</v>
      </c>
      <c r="O39" s="20">
        <v>3.99</v>
      </c>
      <c r="P39" s="53"/>
    </row>
    <row r="40" spans="1:16" ht="15.6" x14ac:dyDescent="0.3">
      <c r="A40" s="170"/>
      <c r="C40" s="30"/>
      <c r="D40" s="30"/>
      <c r="E40" s="20"/>
      <c r="F40" s="30"/>
      <c r="G40" s="20"/>
      <c r="H40" s="62"/>
      <c r="L40" s="118"/>
      <c r="N40" t="s">
        <v>470</v>
      </c>
      <c r="O40" s="20">
        <v>3.99</v>
      </c>
    </row>
    <row r="41" spans="1:16" ht="15.6" x14ac:dyDescent="0.3">
      <c r="A41" s="170"/>
      <c r="C41" s="30"/>
      <c r="D41" s="30"/>
      <c r="E41" s="20"/>
      <c r="F41" s="30"/>
      <c r="G41" s="20"/>
      <c r="H41" s="62"/>
      <c r="N41" t="s">
        <v>470</v>
      </c>
      <c r="O41" s="20">
        <v>39.979999999999997</v>
      </c>
    </row>
    <row r="42" spans="1:16" ht="15.6" x14ac:dyDescent="0.3">
      <c r="A42" s="170"/>
      <c r="C42" s="30"/>
      <c r="D42" s="30"/>
      <c r="E42" s="20"/>
      <c r="F42" s="30"/>
      <c r="G42" s="20"/>
      <c r="H42" s="62"/>
      <c r="N42" t="s">
        <v>280</v>
      </c>
      <c r="O42" s="20">
        <v>14.41</v>
      </c>
    </row>
    <row r="43" spans="1:16" x14ac:dyDescent="0.3">
      <c r="A43" s="170"/>
      <c r="B43" t="s">
        <v>81</v>
      </c>
      <c r="C43" s="30"/>
      <c r="D43" s="30"/>
      <c r="E43" s="20"/>
      <c r="F43" s="20"/>
      <c r="G43" s="20"/>
      <c r="H43" s="81">
        <f>H19+H30</f>
        <v>9079.56</v>
      </c>
      <c r="J43" t="s">
        <v>153</v>
      </c>
      <c r="L43" s="53">
        <f>L29+L39</f>
        <v>8626.0199999999986</v>
      </c>
      <c r="N43" s="20" t="s">
        <v>471</v>
      </c>
      <c r="O43" s="20">
        <v>6.5</v>
      </c>
    </row>
    <row r="44" spans="1:16" ht="15.6" x14ac:dyDescent="0.3">
      <c r="A44" s="170"/>
      <c r="C44" s="30"/>
      <c r="D44" s="30"/>
      <c r="E44" s="20"/>
      <c r="F44" s="30"/>
      <c r="G44" s="20"/>
      <c r="H44" s="82"/>
      <c r="K44" s="88"/>
      <c r="L44" s="20"/>
      <c r="N44" t="s">
        <v>278</v>
      </c>
      <c r="O44" s="20">
        <v>26.92</v>
      </c>
    </row>
    <row r="45" spans="1:16" ht="15.6" x14ac:dyDescent="0.3">
      <c r="A45" s="170"/>
      <c r="C45" s="30"/>
      <c r="D45" s="30"/>
      <c r="E45" s="20"/>
      <c r="F45" s="30"/>
      <c r="G45" s="20"/>
      <c r="H45" s="62"/>
      <c r="K45" s="88"/>
      <c r="L45" s="20"/>
      <c r="N45" t="s">
        <v>278</v>
      </c>
      <c r="O45" s="20">
        <v>14.21</v>
      </c>
    </row>
    <row r="46" spans="1:16" x14ac:dyDescent="0.3">
      <c r="N46" t="s">
        <v>277</v>
      </c>
      <c r="O46" s="20">
        <v>7.94</v>
      </c>
    </row>
    <row r="47" spans="1:16" x14ac:dyDescent="0.3">
      <c r="N47" t="s">
        <v>280</v>
      </c>
      <c r="O47" s="20">
        <v>19.079999999999998</v>
      </c>
    </row>
    <row r="48" spans="1:16" x14ac:dyDescent="0.3">
      <c r="N48" t="s">
        <v>280</v>
      </c>
      <c r="O48" s="20">
        <v>7.92</v>
      </c>
    </row>
    <row r="49" spans="14:15" x14ac:dyDescent="0.3">
      <c r="N49" t="s">
        <v>472</v>
      </c>
      <c r="O49" s="20">
        <v>4.03</v>
      </c>
    </row>
    <row r="50" spans="14:15" x14ac:dyDescent="0.3">
      <c r="N50" t="s">
        <v>476</v>
      </c>
      <c r="O50" s="20">
        <v>10.7</v>
      </c>
    </row>
    <row r="51" spans="14:15" x14ac:dyDescent="0.3">
      <c r="N51" t="s">
        <v>473</v>
      </c>
      <c r="O51" s="20">
        <v>12</v>
      </c>
    </row>
    <row r="52" spans="14:15" x14ac:dyDescent="0.3">
      <c r="N52" t="s">
        <v>474</v>
      </c>
      <c r="O52" s="20">
        <v>47.5</v>
      </c>
    </row>
    <row r="53" spans="14:15" x14ac:dyDescent="0.3">
      <c r="N53" t="s">
        <v>475</v>
      </c>
      <c r="O53" s="20">
        <v>9</v>
      </c>
    </row>
    <row r="54" spans="14:15" x14ac:dyDescent="0.3">
      <c r="O54" s="53">
        <f>SUM(O32:O53)</f>
        <v>326.77999999999997</v>
      </c>
    </row>
    <row r="55" spans="14:15" x14ac:dyDescent="0.3">
      <c r="O55" s="20"/>
    </row>
    <row r="56" spans="14:15" x14ac:dyDescent="0.3">
      <c r="O56" s="20"/>
    </row>
    <row r="57" spans="14:15" x14ac:dyDescent="0.3">
      <c r="O57" s="53"/>
    </row>
  </sheetData>
  <mergeCells count="4">
    <mergeCell ref="A1:L1"/>
    <mergeCell ref="B3:H3"/>
    <mergeCell ref="J3:L3"/>
    <mergeCell ref="A6:A45"/>
  </mergeCells>
  <pageMargins left="0.7" right="0.7" top="0.75" bottom="0.75" header="0.3" footer="0.3"/>
  <pageSetup scale="64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N104"/>
  <sheetViews>
    <sheetView zoomScale="85" zoomScaleNormal="85" workbookViewId="0">
      <pane xSplit="1" ySplit="4" topLeftCell="B101" activePane="bottomRight" state="frozen"/>
      <selection pane="topRight" activeCell="B1" sqref="B1"/>
      <selection pane="bottomLeft" activeCell="A5" sqref="A5"/>
      <selection pane="bottomRight" activeCell="P37" sqref="P37"/>
    </sheetView>
  </sheetViews>
  <sheetFormatPr defaultRowHeight="14.4" x14ac:dyDescent="0.3"/>
  <cols>
    <col min="1" max="1" width="20.5546875" customWidth="1"/>
    <col min="2" max="2" width="25.6640625" customWidth="1"/>
    <col min="3" max="3" width="11.109375" customWidth="1"/>
    <col min="4" max="4" width="12.33203125" customWidth="1"/>
    <col min="5" max="5" width="9.5546875" customWidth="1"/>
    <col min="6" max="6" width="11.33203125" customWidth="1"/>
    <col min="7" max="7" width="12.5546875" customWidth="1"/>
    <col min="8" max="8" width="33.6640625" customWidth="1"/>
    <col min="9" max="9" width="13.88671875" style="30" customWidth="1"/>
    <col min="10" max="10" width="12" customWidth="1"/>
    <col min="11" max="11" width="10.5546875" style="115" bestFit="1" customWidth="1"/>
    <col min="12" max="12" width="5.33203125" customWidth="1"/>
    <col min="13" max="13" width="14.77734375" customWidth="1"/>
  </cols>
  <sheetData>
    <row r="1" spans="1:11" ht="28.35" customHeight="1" x14ac:dyDescent="0.3">
      <c r="A1" s="173" t="s">
        <v>402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1" ht="18" x14ac:dyDescent="0.35">
      <c r="A2" s="54"/>
      <c r="B2" s="54"/>
      <c r="C2" s="54"/>
      <c r="D2" s="54"/>
      <c r="E2" s="54"/>
      <c r="F2" s="54"/>
      <c r="G2" s="54"/>
      <c r="H2" s="54"/>
    </row>
    <row r="3" spans="1:11" ht="15.6" x14ac:dyDescent="0.3">
      <c r="B3" s="171" t="s">
        <v>59</v>
      </c>
      <c r="C3" s="171"/>
      <c r="D3" s="171"/>
      <c r="E3" s="171"/>
      <c r="F3" s="171"/>
      <c r="H3" s="171" t="s">
        <v>68</v>
      </c>
      <c r="I3" s="171"/>
      <c r="J3" s="171"/>
    </row>
    <row r="4" spans="1:11" ht="46.8" x14ac:dyDescent="0.3">
      <c r="A4" s="50"/>
      <c r="B4" s="51" t="s">
        <v>58</v>
      </c>
      <c r="C4" s="52" t="s">
        <v>53</v>
      </c>
      <c r="D4" s="52" t="s">
        <v>185</v>
      </c>
      <c r="E4" s="51" t="s">
        <v>140</v>
      </c>
      <c r="F4" s="51" t="s">
        <v>63</v>
      </c>
      <c r="G4" s="2"/>
      <c r="H4" s="51" t="s">
        <v>58</v>
      </c>
      <c r="I4" s="52" t="s">
        <v>67</v>
      </c>
      <c r="J4" s="51" t="s">
        <v>66</v>
      </c>
      <c r="K4" s="114" t="s">
        <v>0</v>
      </c>
    </row>
    <row r="5" spans="1:11" x14ac:dyDescent="0.3">
      <c r="A5" s="170" t="s">
        <v>406</v>
      </c>
      <c r="B5" t="s">
        <v>150</v>
      </c>
      <c r="C5" s="30">
        <v>9</v>
      </c>
      <c r="D5" s="20">
        <f>C5*18-E5</f>
        <v>162</v>
      </c>
      <c r="E5" s="20">
        <v>0</v>
      </c>
      <c r="F5" s="105">
        <f>D5+E5</f>
        <v>162</v>
      </c>
      <c r="H5" t="s">
        <v>411</v>
      </c>
      <c r="I5" s="78" t="s">
        <v>247</v>
      </c>
      <c r="J5" s="20">
        <v>231</v>
      </c>
      <c r="K5" s="115">
        <v>45575</v>
      </c>
    </row>
    <row r="6" spans="1:11" x14ac:dyDescent="0.3">
      <c r="A6" s="170"/>
      <c r="B6" t="s">
        <v>149</v>
      </c>
      <c r="C6" s="30">
        <v>1</v>
      </c>
      <c r="D6" s="20">
        <f>C6*15-E6</f>
        <v>15</v>
      </c>
      <c r="E6" s="20">
        <v>0</v>
      </c>
      <c r="F6" s="105">
        <f>D6+E6</f>
        <v>15</v>
      </c>
      <c r="I6" s="78"/>
      <c r="J6" s="20"/>
    </row>
    <row r="7" spans="1:11" x14ac:dyDescent="0.3">
      <c r="A7" s="170"/>
      <c r="B7" t="s">
        <v>198</v>
      </c>
      <c r="C7" s="30">
        <v>7</v>
      </c>
      <c r="D7" s="20">
        <f>C7*9-E7</f>
        <v>63</v>
      </c>
      <c r="E7" s="20">
        <v>0</v>
      </c>
      <c r="F7" s="105">
        <f>D7+E7</f>
        <v>63</v>
      </c>
      <c r="I7" s="78"/>
      <c r="J7" s="20"/>
    </row>
    <row r="8" spans="1:11" x14ac:dyDescent="0.3">
      <c r="A8" s="170"/>
      <c r="B8" t="s">
        <v>222</v>
      </c>
      <c r="C8" s="30"/>
      <c r="D8" s="20">
        <f>C8*4.5-E8</f>
        <v>0</v>
      </c>
      <c r="E8" s="20">
        <v>0</v>
      </c>
      <c r="F8" s="105">
        <f>D8+E8</f>
        <v>0</v>
      </c>
      <c r="J8" s="20"/>
    </row>
    <row r="9" spans="1:11" x14ac:dyDescent="0.3">
      <c r="A9" s="170"/>
      <c r="B9" t="s">
        <v>138</v>
      </c>
      <c r="C9" s="30"/>
      <c r="D9" s="20">
        <f>C9*12-E9</f>
        <v>0</v>
      </c>
      <c r="E9" s="20">
        <v>0</v>
      </c>
      <c r="F9" s="105">
        <f>D9+E9</f>
        <v>0</v>
      </c>
      <c r="G9" s="53">
        <f>F5+F6+F7+F8+F9</f>
        <v>240</v>
      </c>
    </row>
    <row r="10" spans="1:11" x14ac:dyDescent="0.3">
      <c r="A10" s="170"/>
      <c r="B10" s="146"/>
      <c r="C10" s="92"/>
      <c r="D10" s="20"/>
      <c r="E10" s="20"/>
      <c r="F10" s="105"/>
      <c r="G10" s="2"/>
      <c r="H10" s="146"/>
      <c r="I10" s="92"/>
      <c r="J10" s="146"/>
    </row>
    <row r="11" spans="1:11" x14ac:dyDescent="0.3">
      <c r="A11" s="170"/>
      <c r="B11" s="146"/>
      <c r="C11" s="92"/>
      <c r="D11" s="92"/>
      <c r="E11" s="146"/>
      <c r="F11" s="146"/>
      <c r="G11" s="2"/>
      <c r="H11" s="146"/>
      <c r="I11" s="92"/>
      <c r="J11" s="146"/>
    </row>
    <row r="12" spans="1:11" ht="14.4" customHeight="1" x14ac:dyDescent="0.3">
      <c r="A12" s="170"/>
      <c r="B12" t="s">
        <v>199</v>
      </c>
      <c r="C12" s="30">
        <v>23</v>
      </c>
      <c r="D12" s="20">
        <f>C12*18-E12</f>
        <v>414</v>
      </c>
      <c r="E12" s="20">
        <v>0</v>
      </c>
      <c r="F12" s="105">
        <f t="shared" ref="F12:F18" si="0">SUM(D12:E12)</f>
        <v>414</v>
      </c>
      <c r="H12" t="s">
        <v>154</v>
      </c>
      <c r="I12" s="78" t="s">
        <v>247</v>
      </c>
      <c r="J12" s="20">
        <v>231</v>
      </c>
      <c r="K12" s="115">
        <v>45575</v>
      </c>
    </row>
    <row r="13" spans="1:11" ht="14.4" customHeight="1" x14ac:dyDescent="0.3">
      <c r="A13" s="170"/>
      <c r="B13" t="s">
        <v>200</v>
      </c>
      <c r="C13" s="30">
        <v>11</v>
      </c>
      <c r="D13" s="20">
        <f>C13*9-E13</f>
        <v>99</v>
      </c>
      <c r="E13" s="20"/>
      <c r="F13" s="105">
        <f t="shared" si="0"/>
        <v>99</v>
      </c>
      <c r="I13" s="78"/>
      <c r="J13" s="20"/>
    </row>
    <row r="14" spans="1:11" ht="14.4" customHeight="1" x14ac:dyDescent="0.3">
      <c r="A14" s="170"/>
      <c r="B14" t="s">
        <v>223</v>
      </c>
      <c r="C14" s="30">
        <v>2</v>
      </c>
      <c r="D14" s="20">
        <f>C14*4.5-E14</f>
        <v>9</v>
      </c>
      <c r="E14" s="20"/>
      <c r="F14" s="105">
        <f t="shared" si="0"/>
        <v>9</v>
      </c>
      <c r="G14" s="53">
        <f>F12+F13+F14</f>
        <v>522</v>
      </c>
      <c r="J14" s="20"/>
    </row>
    <row r="15" spans="1:11" ht="14.4" customHeight="1" x14ac:dyDescent="0.3">
      <c r="A15" s="170"/>
      <c r="C15" s="30"/>
      <c r="D15" s="20"/>
      <c r="E15" s="20"/>
      <c r="F15" s="105"/>
      <c r="J15" s="20"/>
    </row>
    <row r="16" spans="1:11" ht="14.4" customHeight="1" x14ac:dyDescent="0.3">
      <c r="A16" s="170"/>
      <c r="C16" s="30"/>
      <c r="D16" s="20"/>
      <c r="E16" s="20"/>
      <c r="F16" s="105"/>
      <c r="H16" t="s">
        <v>410</v>
      </c>
      <c r="I16" s="30" t="s">
        <v>247</v>
      </c>
      <c r="J16" s="20">
        <v>231</v>
      </c>
      <c r="K16" s="115">
        <v>45575</v>
      </c>
    </row>
    <row r="17" spans="1:14" ht="14.4" customHeight="1" x14ac:dyDescent="0.3">
      <c r="A17" s="170"/>
      <c r="B17" t="s">
        <v>403</v>
      </c>
      <c r="C17" s="30">
        <v>15</v>
      </c>
      <c r="D17" s="20">
        <f>C17*18-E17</f>
        <v>270</v>
      </c>
      <c r="E17" s="20">
        <v>0</v>
      </c>
      <c r="F17" s="105">
        <f t="shared" si="0"/>
        <v>270</v>
      </c>
      <c r="J17" s="20"/>
    </row>
    <row r="18" spans="1:14" ht="14.4" customHeight="1" x14ac:dyDescent="0.3">
      <c r="A18" s="170"/>
      <c r="B18" t="s">
        <v>404</v>
      </c>
      <c r="C18" s="30">
        <v>1</v>
      </c>
      <c r="D18" s="20">
        <f>C18*9-E18</f>
        <v>9</v>
      </c>
      <c r="E18" s="20">
        <v>0</v>
      </c>
      <c r="F18" s="105">
        <f t="shared" si="0"/>
        <v>9</v>
      </c>
      <c r="G18" s="53">
        <f>F17+F18</f>
        <v>279</v>
      </c>
      <c r="J18" s="20"/>
    </row>
    <row r="19" spans="1:14" x14ac:dyDescent="0.3">
      <c r="A19" s="170"/>
      <c r="C19" s="30"/>
      <c r="D19" s="20"/>
      <c r="E19" s="20"/>
      <c r="F19" s="105"/>
      <c r="J19" s="20"/>
    </row>
    <row r="20" spans="1:14" ht="14.4" customHeight="1" x14ac:dyDescent="0.3">
      <c r="A20" s="170"/>
      <c r="B20" s="64"/>
      <c r="C20" s="30"/>
      <c r="D20" s="20"/>
      <c r="E20" s="20"/>
      <c r="F20" s="48"/>
    </row>
    <row r="21" spans="1:14" ht="14.4" customHeight="1" x14ac:dyDescent="0.3">
      <c r="A21" s="170"/>
      <c r="B21" t="s">
        <v>413</v>
      </c>
      <c r="C21" s="30"/>
      <c r="D21" s="53">
        <f>SUM(D5:D20)</f>
        <v>1041</v>
      </c>
      <c r="E21" s="53">
        <f>SUM(E5:E20)</f>
        <v>0</v>
      </c>
      <c r="F21" s="49">
        <f>SUM(F5:F20)</f>
        <v>1041</v>
      </c>
      <c r="H21" t="s">
        <v>413</v>
      </c>
      <c r="J21" s="53">
        <f>SUM(J5:J20)</f>
        <v>693</v>
      </c>
    </row>
    <row r="22" spans="1:14" x14ac:dyDescent="0.3">
      <c r="A22" s="55"/>
      <c r="B22" s="55"/>
      <c r="C22" s="56"/>
      <c r="D22" s="55"/>
      <c r="E22" s="55"/>
      <c r="F22" s="55"/>
      <c r="G22" s="55"/>
      <c r="H22" s="55"/>
      <c r="I22" s="56"/>
      <c r="J22" s="55"/>
      <c r="K22" s="116"/>
    </row>
    <row r="23" spans="1:14" x14ac:dyDescent="0.3">
      <c r="A23" s="170" t="s">
        <v>405</v>
      </c>
      <c r="B23" t="s">
        <v>528</v>
      </c>
      <c r="C23" s="30">
        <v>9</v>
      </c>
      <c r="D23" s="20">
        <f>C23*24-E23</f>
        <v>216</v>
      </c>
      <c r="E23" s="20">
        <v>0</v>
      </c>
      <c r="F23" s="105">
        <f>D23+E23</f>
        <v>216</v>
      </c>
      <c r="H23" t="s">
        <v>411</v>
      </c>
      <c r="I23" s="78" t="s">
        <v>247</v>
      </c>
      <c r="J23" s="20">
        <v>308</v>
      </c>
      <c r="K23" s="115">
        <v>45642</v>
      </c>
      <c r="M23" s="149" t="s">
        <v>415</v>
      </c>
    </row>
    <row r="24" spans="1:14" x14ac:dyDescent="0.3">
      <c r="A24" s="170"/>
      <c r="B24" t="s">
        <v>529</v>
      </c>
      <c r="C24" s="30">
        <v>5</v>
      </c>
      <c r="D24" s="20">
        <f>C24*12-E24</f>
        <v>60</v>
      </c>
      <c r="E24" s="20">
        <v>0</v>
      </c>
      <c r="F24" s="44">
        <f>SUM(D24:E24)</f>
        <v>60</v>
      </c>
      <c r="H24" t="s">
        <v>412</v>
      </c>
      <c r="I24" s="78" t="s">
        <v>247</v>
      </c>
      <c r="J24" s="20">
        <v>308</v>
      </c>
      <c r="K24" s="115">
        <v>45642</v>
      </c>
      <c r="M24" t="s">
        <v>295</v>
      </c>
      <c r="N24" s="20">
        <v>23.6</v>
      </c>
    </row>
    <row r="25" spans="1:14" x14ac:dyDescent="0.3">
      <c r="A25" s="170"/>
      <c r="B25" t="s">
        <v>530</v>
      </c>
      <c r="C25" s="30">
        <v>7</v>
      </c>
      <c r="D25" s="20">
        <f>C25*24-E25</f>
        <v>144</v>
      </c>
      <c r="E25" s="20">
        <v>24</v>
      </c>
      <c r="F25" s="44">
        <f>SUM(D25:E25)</f>
        <v>168</v>
      </c>
      <c r="I25" s="78"/>
      <c r="J25" s="20"/>
      <c r="M25" t="s">
        <v>293</v>
      </c>
      <c r="N25" s="20">
        <v>10.52</v>
      </c>
    </row>
    <row r="26" spans="1:14" x14ac:dyDescent="0.3">
      <c r="A26" s="170"/>
      <c r="B26" t="s">
        <v>531</v>
      </c>
      <c r="C26" s="30">
        <v>4</v>
      </c>
      <c r="D26" s="20">
        <f>C26*12-E26</f>
        <v>48</v>
      </c>
      <c r="E26" s="20">
        <v>0</v>
      </c>
      <c r="F26" s="44">
        <f>SUM(D26:E26)</f>
        <v>48</v>
      </c>
      <c r="I26" s="78"/>
      <c r="J26" s="20"/>
      <c r="M26" t="s">
        <v>295</v>
      </c>
      <c r="N26" s="20">
        <v>7.1</v>
      </c>
    </row>
    <row r="27" spans="1:14" x14ac:dyDescent="0.3">
      <c r="A27" s="170"/>
      <c r="B27" t="s">
        <v>532</v>
      </c>
      <c r="C27" s="30">
        <v>1</v>
      </c>
      <c r="D27" s="20">
        <f>C27*9-E27</f>
        <v>9</v>
      </c>
      <c r="E27" s="20"/>
      <c r="F27" s="44">
        <f>SUM(D27:E27)</f>
        <v>9</v>
      </c>
      <c r="G27" s="53">
        <f>F23+F24+F25+F26+F27</f>
        <v>501</v>
      </c>
      <c r="I27" s="78"/>
      <c r="J27" s="20"/>
      <c r="M27" t="s">
        <v>416</v>
      </c>
      <c r="N27" s="20">
        <v>1.5</v>
      </c>
    </row>
    <row r="28" spans="1:14" x14ac:dyDescent="0.3">
      <c r="A28" s="170"/>
      <c r="C28" s="30"/>
      <c r="D28" s="20"/>
      <c r="E28" s="20"/>
      <c r="F28" s="44"/>
      <c r="J28" s="20"/>
      <c r="M28" t="s">
        <v>293</v>
      </c>
      <c r="N28" s="20">
        <v>16.079999999999998</v>
      </c>
    </row>
    <row r="29" spans="1:14" x14ac:dyDescent="0.3">
      <c r="A29" s="170"/>
      <c r="B29" s="64"/>
      <c r="C29" s="30"/>
      <c r="D29" s="20"/>
      <c r="E29" s="20"/>
      <c r="F29" s="48"/>
      <c r="M29" t="s">
        <v>293</v>
      </c>
      <c r="N29" s="20">
        <v>24.3</v>
      </c>
    </row>
    <row r="30" spans="1:14" ht="14.4" customHeight="1" x14ac:dyDescent="0.3">
      <c r="A30" s="170"/>
      <c r="B30" t="s">
        <v>543</v>
      </c>
      <c r="C30" s="30">
        <v>27</v>
      </c>
      <c r="D30" s="20">
        <f>C30*24-E30</f>
        <v>624</v>
      </c>
      <c r="E30" s="20">
        <v>24</v>
      </c>
      <c r="F30" s="105">
        <f>SUM(D30:E30)</f>
        <v>648</v>
      </c>
      <c r="H30" t="s">
        <v>154</v>
      </c>
      <c r="I30" s="78" t="s">
        <v>247</v>
      </c>
      <c r="J30" s="20">
        <v>308</v>
      </c>
      <c r="K30" s="115">
        <v>45642</v>
      </c>
      <c r="M30" t="s">
        <v>417</v>
      </c>
      <c r="N30" s="20">
        <v>2</v>
      </c>
    </row>
    <row r="31" spans="1:14" ht="14.4" customHeight="1" x14ac:dyDescent="0.3">
      <c r="A31" s="170"/>
      <c r="B31" t="s">
        <v>201</v>
      </c>
      <c r="C31" s="30">
        <v>11</v>
      </c>
      <c r="D31" s="20">
        <f>C31*12-E31</f>
        <v>108</v>
      </c>
      <c r="E31" s="20">
        <v>24</v>
      </c>
      <c r="F31" s="105">
        <f>SUM(D31:E31)</f>
        <v>132</v>
      </c>
      <c r="I31" s="78"/>
      <c r="J31" s="20"/>
      <c r="M31" t="s">
        <v>418</v>
      </c>
      <c r="N31" s="20">
        <v>18</v>
      </c>
    </row>
    <row r="32" spans="1:14" ht="14.4" customHeight="1" x14ac:dyDescent="0.3">
      <c r="A32" s="170"/>
      <c r="B32" t="s">
        <v>544</v>
      </c>
      <c r="C32" s="30">
        <v>1</v>
      </c>
      <c r="D32" s="20">
        <f>C32*6-E32</f>
        <v>6</v>
      </c>
      <c r="E32" s="20"/>
      <c r="F32" s="105">
        <f>SUM(D32:E32)</f>
        <v>6</v>
      </c>
      <c r="G32" s="53">
        <f>F30+F31+F32</f>
        <v>786</v>
      </c>
      <c r="M32" t="s">
        <v>294</v>
      </c>
      <c r="N32" s="20">
        <v>7.16</v>
      </c>
    </row>
    <row r="33" spans="1:14" ht="31.8" customHeight="1" x14ac:dyDescent="0.3">
      <c r="A33" s="170"/>
      <c r="H33" s="154" t="s">
        <v>414</v>
      </c>
      <c r="I33" s="78" t="s">
        <v>247</v>
      </c>
      <c r="J33" s="20">
        <v>193.06</v>
      </c>
      <c r="K33" s="115">
        <v>45642</v>
      </c>
      <c r="M33" t="s">
        <v>293</v>
      </c>
      <c r="N33" s="20">
        <v>80</v>
      </c>
    </row>
    <row r="34" spans="1:14" ht="14.4" customHeight="1" x14ac:dyDescent="0.3">
      <c r="A34" s="170"/>
      <c r="B34" t="s">
        <v>548</v>
      </c>
      <c r="C34" s="30">
        <v>1</v>
      </c>
      <c r="D34" s="20">
        <f>C34*26-E34</f>
        <v>26</v>
      </c>
      <c r="E34" s="20"/>
      <c r="F34" s="105">
        <f>SUM(D34:E34)</f>
        <v>26</v>
      </c>
      <c r="M34" t="s">
        <v>294</v>
      </c>
      <c r="N34" s="20">
        <v>2.8</v>
      </c>
    </row>
    <row r="35" spans="1:14" ht="14.4" customHeight="1" x14ac:dyDescent="0.3">
      <c r="A35" s="170"/>
      <c r="B35" t="s">
        <v>549</v>
      </c>
      <c r="C35" s="30">
        <v>19</v>
      </c>
      <c r="D35" s="20">
        <f>C35*24-E35</f>
        <v>432</v>
      </c>
      <c r="E35" s="20">
        <v>24</v>
      </c>
      <c r="F35" s="105">
        <f>SUM(D35:E35)</f>
        <v>456</v>
      </c>
      <c r="G35" s="129"/>
    </row>
    <row r="36" spans="1:14" ht="14.4" customHeight="1" x14ac:dyDescent="0.3">
      <c r="A36" s="170"/>
      <c r="B36" t="s">
        <v>550</v>
      </c>
      <c r="C36" s="30">
        <v>3</v>
      </c>
      <c r="D36" s="20">
        <f>C36*12-E36</f>
        <v>36</v>
      </c>
      <c r="E36" s="20">
        <v>0</v>
      </c>
      <c r="F36" s="105">
        <f>SUM(D36:E36)</f>
        <v>36</v>
      </c>
      <c r="N36" s="53">
        <f>SUM(N24:N34)</f>
        <v>193.06</v>
      </c>
    </row>
    <row r="37" spans="1:14" ht="14.4" customHeight="1" x14ac:dyDescent="0.3">
      <c r="A37" s="170"/>
      <c r="B37" t="s">
        <v>551</v>
      </c>
      <c r="C37" s="30">
        <v>2</v>
      </c>
      <c r="D37" s="20">
        <f>C37*6-E37</f>
        <v>12</v>
      </c>
      <c r="E37" s="20">
        <v>0</v>
      </c>
      <c r="F37" s="105">
        <f>SUM(D37:E37)</f>
        <v>12</v>
      </c>
      <c r="G37" s="181">
        <f>F34+F35+F36+F37</f>
        <v>530</v>
      </c>
      <c r="H37" t="s">
        <v>410</v>
      </c>
      <c r="I37" s="78" t="s">
        <v>247</v>
      </c>
      <c r="J37" s="20">
        <v>308</v>
      </c>
      <c r="K37" s="115">
        <v>45642</v>
      </c>
    </row>
    <row r="38" spans="1:14" ht="14.4" customHeight="1" x14ac:dyDescent="0.3">
      <c r="A38" s="170"/>
      <c r="I38" s="78"/>
      <c r="L38" s="16"/>
    </row>
    <row r="39" spans="1:14" ht="14.4" customHeight="1" x14ac:dyDescent="0.3">
      <c r="A39" s="170"/>
      <c r="C39" s="30"/>
      <c r="D39" s="20"/>
      <c r="E39" s="20"/>
      <c r="F39" s="105"/>
      <c r="G39" s="129"/>
    </row>
    <row r="40" spans="1:14" ht="14.4" customHeight="1" x14ac:dyDescent="0.3">
      <c r="A40" s="170"/>
      <c r="B40" s="64"/>
      <c r="C40" s="30"/>
      <c r="D40" s="20"/>
      <c r="E40" s="20"/>
      <c r="F40" s="48"/>
    </row>
    <row r="41" spans="1:14" ht="14.4" customHeight="1" x14ac:dyDescent="0.3">
      <c r="A41" s="170"/>
      <c r="B41" t="s">
        <v>413</v>
      </c>
      <c r="C41" s="30"/>
      <c r="D41" s="53">
        <f>SUM(D23:D40)</f>
        <v>1721</v>
      </c>
      <c r="E41" s="53">
        <f>SUM(E23:E40)</f>
        <v>96</v>
      </c>
      <c r="F41" s="49">
        <f>SUM(F23:F40)</f>
        <v>1817</v>
      </c>
      <c r="H41" t="s">
        <v>413</v>
      </c>
      <c r="J41" s="53">
        <f>SUM(J23:J40)</f>
        <v>1425.06</v>
      </c>
    </row>
    <row r="42" spans="1:14" x14ac:dyDescent="0.3">
      <c r="A42" s="55"/>
      <c r="B42" s="55"/>
      <c r="C42" s="56"/>
      <c r="D42" s="55"/>
      <c r="E42" s="55"/>
      <c r="F42" s="55"/>
      <c r="G42" s="55"/>
      <c r="H42" s="55"/>
      <c r="I42" s="56"/>
      <c r="J42" s="55"/>
      <c r="K42" s="116"/>
    </row>
    <row r="43" spans="1:14" x14ac:dyDescent="0.3">
      <c r="A43" s="170" t="s">
        <v>407</v>
      </c>
      <c r="B43" t="s">
        <v>533</v>
      </c>
      <c r="C43" s="30">
        <v>9</v>
      </c>
      <c r="D43" s="20">
        <f>C43*36-E43</f>
        <v>324</v>
      </c>
      <c r="E43" s="20">
        <v>0</v>
      </c>
      <c r="F43" s="105">
        <f>SUM(D43:E43)</f>
        <v>324</v>
      </c>
      <c r="H43" t="s">
        <v>411</v>
      </c>
      <c r="I43" s="78" t="s">
        <v>247</v>
      </c>
      <c r="J43" s="20">
        <v>423.5</v>
      </c>
      <c r="K43" s="115">
        <v>45747</v>
      </c>
    </row>
    <row r="44" spans="1:14" x14ac:dyDescent="0.3">
      <c r="A44" s="170"/>
      <c r="B44" t="s">
        <v>534</v>
      </c>
      <c r="C44" s="30">
        <v>5</v>
      </c>
      <c r="D44" s="20">
        <f>C44*18-E44</f>
        <v>90</v>
      </c>
      <c r="E44" s="20"/>
      <c r="F44" s="44">
        <f>SUM(D44:E44)</f>
        <v>90</v>
      </c>
      <c r="H44" t="s">
        <v>412</v>
      </c>
      <c r="I44" s="78" t="s">
        <v>247</v>
      </c>
      <c r="J44" s="20">
        <v>423.5</v>
      </c>
      <c r="K44" s="115">
        <v>45747</v>
      </c>
    </row>
    <row r="45" spans="1:14" x14ac:dyDescent="0.3">
      <c r="A45" s="170"/>
      <c r="B45" t="s">
        <v>535</v>
      </c>
      <c r="C45" s="180">
        <v>6</v>
      </c>
      <c r="D45" s="20">
        <f>C45*36-E45</f>
        <v>216</v>
      </c>
      <c r="E45" s="20"/>
      <c r="F45" s="44">
        <f>SUM(D45:E45)</f>
        <v>216</v>
      </c>
      <c r="I45" s="78"/>
      <c r="J45" s="20"/>
    </row>
    <row r="46" spans="1:14" x14ac:dyDescent="0.3">
      <c r="A46" s="170"/>
      <c r="B46" t="s">
        <v>538</v>
      </c>
      <c r="C46" s="30">
        <v>1</v>
      </c>
      <c r="D46" s="20">
        <f>C46*33-E46</f>
        <v>33</v>
      </c>
      <c r="E46" s="20"/>
      <c r="F46" s="44">
        <f>SUM(D46:E46)</f>
        <v>33</v>
      </c>
      <c r="I46" s="78"/>
      <c r="J46" s="20"/>
    </row>
    <row r="47" spans="1:14" x14ac:dyDescent="0.3">
      <c r="A47" s="170"/>
      <c r="B47" t="s">
        <v>530</v>
      </c>
      <c r="C47" s="30">
        <v>1</v>
      </c>
      <c r="D47" s="20">
        <f>C47*24-E47</f>
        <v>24</v>
      </c>
      <c r="E47" s="20"/>
      <c r="F47" s="44">
        <f>SUM(D47:E47)</f>
        <v>24</v>
      </c>
      <c r="I47" s="78"/>
      <c r="J47" s="20"/>
    </row>
    <row r="48" spans="1:14" x14ac:dyDescent="0.3">
      <c r="A48" s="170"/>
      <c r="B48" t="s">
        <v>536</v>
      </c>
      <c r="C48" s="30">
        <v>3</v>
      </c>
      <c r="D48" s="20">
        <f>C48*18-E48</f>
        <v>54</v>
      </c>
      <c r="E48" s="20"/>
      <c r="F48" s="44">
        <f t="shared" ref="F48:F50" si="1">SUM(D48:E48)</f>
        <v>54</v>
      </c>
      <c r="I48" s="78"/>
      <c r="J48" s="20"/>
    </row>
    <row r="49" spans="1:11" x14ac:dyDescent="0.3">
      <c r="A49" s="170"/>
      <c r="B49" t="s">
        <v>537</v>
      </c>
      <c r="C49" s="30">
        <v>1</v>
      </c>
      <c r="D49" s="20">
        <f>C49*16.5-E49</f>
        <v>16.5</v>
      </c>
      <c r="E49" s="20"/>
      <c r="F49" s="44">
        <f t="shared" si="1"/>
        <v>16.5</v>
      </c>
      <c r="I49" s="78"/>
      <c r="J49" s="20"/>
    </row>
    <row r="50" spans="1:11" x14ac:dyDescent="0.3">
      <c r="A50" s="170"/>
      <c r="B50" t="s">
        <v>531</v>
      </c>
      <c r="C50" s="30">
        <v>1</v>
      </c>
      <c r="D50" s="20">
        <f>C50*12-E50</f>
        <v>12</v>
      </c>
      <c r="E50" s="20"/>
      <c r="F50" s="44">
        <f t="shared" si="1"/>
        <v>12</v>
      </c>
      <c r="G50" s="53">
        <f>F43+F44+F45+F46+F47+F48+F49+F50</f>
        <v>769.5</v>
      </c>
      <c r="I50" s="78"/>
      <c r="J50" s="20"/>
    </row>
    <row r="51" spans="1:11" x14ac:dyDescent="0.3">
      <c r="A51" s="170"/>
      <c r="C51" s="30"/>
      <c r="D51" s="20"/>
      <c r="E51" s="20"/>
      <c r="F51" s="44"/>
      <c r="G51" s="53"/>
      <c r="I51" s="78"/>
      <c r="J51" s="20"/>
    </row>
    <row r="52" spans="1:11" x14ac:dyDescent="0.3">
      <c r="A52" s="170"/>
      <c r="C52" s="30"/>
      <c r="D52" s="20"/>
      <c r="E52" s="20"/>
      <c r="F52" s="44"/>
      <c r="I52" s="78"/>
      <c r="J52" s="20"/>
    </row>
    <row r="53" spans="1:11" ht="14.4" customHeight="1" x14ac:dyDescent="0.3">
      <c r="A53" s="170"/>
      <c r="B53" t="s">
        <v>547</v>
      </c>
      <c r="C53" s="30">
        <v>25</v>
      </c>
      <c r="D53" s="20">
        <f>C53*36-E53</f>
        <v>900</v>
      </c>
      <c r="E53" s="20"/>
      <c r="F53" s="105">
        <f>SUM(D53:E53)</f>
        <v>900</v>
      </c>
      <c r="H53" t="s">
        <v>154</v>
      </c>
      <c r="I53" s="78" t="s">
        <v>247</v>
      </c>
      <c r="J53" s="20">
        <v>423.5</v>
      </c>
      <c r="K53" s="115">
        <v>45747</v>
      </c>
    </row>
    <row r="54" spans="1:11" ht="14.4" customHeight="1" x14ac:dyDescent="0.3">
      <c r="A54" s="170"/>
      <c r="B54" t="s">
        <v>202</v>
      </c>
      <c r="C54" s="30">
        <v>2</v>
      </c>
      <c r="D54" s="20">
        <f>C54*30-E54</f>
        <v>60</v>
      </c>
      <c r="E54" s="20"/>
      <c r="F54" s="105">
        <f>SUM(D54:E54)</f>
        <v>60</v>
      </c>
      <c r="I54" s="78"/>
      <c r="J54" s="20"/>
    </row>
    <row r="55" spans="1:11" ht="14.4" customHeight="1" x14ac:dyDescent="0.3">
      <c r="A55" s="170"/>
      <c r="B55" t="s">
        <v>199</v>
      </c>
      <c r="C55" s="30">
        <v>10</v>
      </c>
      <c r="D55" s="20">
        <f>C55*18-E55</f>
        <v>144</v>
      </c>
      <c r="E55" s="20">
        <v>36</v>
      </c>
      <c r="F55" s="105">
        <f>SUM(D55:E55)</f>
        <v>180</v>
      </c>
      <c r="I55" s="78"/>
      <c r="J55" s="20"/>
    </row>
    <row r="56" spans="1:11" ht="14.4" customHeight="1" x14ac:dyDescent="0.3">
      <c r="A56" s="170"/>
      <c r="B56" t="s">
        <v>200</v>
      </c>
      <c r="C56" s="30">
        <v>1</v>
      </c>
      <c r="D56" s="20">
        <f>C56*9-E56</f>
        <v>9</v>
      </c>
      <c r="E56" s="20"/>
      <c r="F56" s="105">
        <f>SUM(D56:E56)</f>
        <v>9</v>
      </c>
      <c r="G56" s="53">
        <f>F53+F54+F55+F56</f>
        <v>1149</v>
      </c>
      <c r="I56" s="78"/>
      <c r="J56" s="20"/>
    </row>
    <row r="57" spans="1:11" ht="14.4" customHeight="1" x14ac:dyDescent="0.3">
      <c r="A57" s="170"/>
      <c r="C57" s="30"/>
      <c r="D57" s="20"/>
      <c r="E57" s="20"/>
      <c r="F57" s="105"/>
      <c r="I57" s="78"/>
      <c r="J57" s="20"/>
    </row>
    <row r="58" spans="1:11" ht="14.4" customHeight="1" x14ac:dyDescent="0.3">
      <c r="A58" s="170"/>
      <c r="I58" s="78"/>
      <c r="J58" s="20"/>
    </row>
    <row r="59" spans="1:11" ht="14.4" customHeight="1" x14ac:dyDescent="0.3">
      <c r="A59" s="170"/>
      <c r="B59" t="s">
        <v>553</v>
      </c>
      <c r="C59" s="180">
        <v>19</v>
      </c>
      <c r="D59" s="20">
        <f>C59*36-E59</f>
        <v>648</v>
      </c>
      <c r="E59" s="20">
        <v>36</v>
      </c>
      <c r="F59" s="105">
        <f>SUM(D59:E59)</f>
        <v>684</v>
      </c>
      <c r="H59" t="s">
        <v>410</v>
      </c>
      <c r="I59" s="78" t="s">
        <v>247</v>
      </c>
      <c r="J59" s="20">
        <v>423.5</v>
      </c>
      <c r="K59" s="115">
        <v>45747</v>
      </c>
    </row>
    <row r="60" spans="1:11" ht="14.4" customHeight="1" x14ac:dyDescent="0.3">
      <c r="A60" s="170"/>
      <c r="B60" t="s">
        <v>403</v>
      </c>
      <c r="C60" s="30">
        <v>3</v>
      </c>
      <c r="D60" s="20">
        <f>C60*18-E60</f>
        <v>54</v>
      </c>
      <c r="E60" s="20">
        <v>0</v>
      </c>
      <c r="F60" s="105">
        <f>SUM(D60:E60)</f>
        <v>54</v>
      </c>
      <c r="I60" s="78"/>
      <c r="J60" s="20"/>
    </row>
    <row r="61" spans="1:11" ht="14.4" customHeight="1" x14ac:dyDescent="0.3">
      <c r="A61" s="170"/>
      <c r="B61" t="s">
        <v>404</v>
      </c>
      <c r="C61" s="30">
        <v>1</v>
      </c>
      <c r="D61" s="20">
        <f>C61*9-E61</f>
        <v>9</v>
      </c>
      <c r="E61" s="20">
        <v>0</v>
      </c>
      <c r="F61" s="105">
        <f>SUM(D61:E61)</f>
        <v>9</v>
      </c>
      <c r="G61" s="53">
        <f>F59+F60+F61</f>
        <v>747</v>
      </c>
      <c r="I61" s="78"/>
      <c r="J61" s="20"/>
    </row>
    <row r="62" spans="1:11" ht="14.4" customHeight="1" x14ac:dyDescent="0.3">
      <c r="A62" s="170"/>
      <c r="C62" s="30"/>
      <c r="D62" s="20"/>
      <c r="E62" s="20"/>
      <c r="F62" s="105"/>
      <c r="G62" s="129"/>
      <c r="I62" s="78"/>
      <c r="J62" s="20"/>
    </row>
    <row r="63" spans="1:11" ht="14.4" customHeight="1" x14ac:dyDescent="0.3">
      <c r="A63" s="170"/>
      <c r="C63" s="30"/>
      <c r="D63" s="20"/>
      <c r="E63" s="20"/>
      <c r="F63" s="105"/>
      <c r="G63" s="129"/>
      <c r="I63" s="78"/>
      <c r="J63" s="20"/>
    </row>
    <row r="64" spans="1:11" ht="14.4" customHeight="1" x14ac:dyDescent="0.3">
      <c r="A64" s="170"/>
      <c r="C64" s="30"/>
      <c r="D64" s="20"/>
      <c r="E64" s="20"/>
      <c r="F64" s="105"/>
      <c r="G64" s="129"/>
      <c r="I64" s="78"/>
      <c r="J64" s="20"/>
    </row>
    <row r="65" spans="1:14" ht="14.4" customHeight="1" x14ac:dyDescent="0.3">
      <c r="A65" s="170"/>
      <c r="C65" s="30"/>
      <c r="D65" s="20"/>
      <c r="E65" s="20"/>
      <c r="F65" s="105"/>
      <c r="G65" s="129"/>
      <c r="I65" s="78"/>
      <c r="J65" s="20"/>
    </row>
    <row r="66" spans="1:14" ht="14.4" customHeight="1" x14ac:dyDescent="0.3">
      <c r="A66" s="170"/>
      <c r="C66" s="30"/>
      <c r="D66" s="20"/>
      <c r="E66" s="20"/>
      <c r="F66" s="105"/>
      <c r="G66" s="129"/>
      <c r="I66" s="78"/>
      <c r="J66" s="20"/>
    </row>
    <row r="67" spans="1:14" ht="14.4" customHeight="1" x14ac:dyDescent="0.3">
      <c r="A67" s="170"/>
      <c r="C67" s="30"/>
      <c r="D67" s="20"/>
      <c r="E67" s="20"/>
      <c r="F67" s="105"/>
      <c r="G67" s="129"/>
      <c r="I67" s="78"/>
      <c r="J67" s="20"/>
    </row>
    <row r="68" spans="1:14" ht="14.4" customHeight="1" x14ac:dyDescent="0.3">
      <c r="A68" s="170"/>
      <c r="C68" s="30"/>
      <c r="D68" s="20"/>
      <c r="E68" s="20"/>
      <c r="F68" s="105"/>
      <c r="G68" s="129"/>
      <c r="I68" s="78"/>
      <c r="J68" s="20"/>
    </row>
    <row r="69" spans="1:14" ht="14.4" customHeight="1" x14ac:dyDescent="0.3">
      <c r="A69" s="170"/>
      <c r="C69" s="30"/>
      <c r="D69" s="20"/>
      <c r="E69" s="20"/>
      <c r="F69" s="105"/>
      <c r="G69" s="129"/>
      <c r="I69" s="78"/>
      <c r="J69" s="20"/>
    </row>
    <row r="70" spans="1:14" ht="14.4" customHeight="1" x14ac:dyDescent="0.3">
      <c r="A70" s="170"/>
      <c r="C70" s="30"/>
      <c r="D70" s="20"/>
      <c r="E70" s="20"/>
      <c r="F70" s="105"/>
    </row>
    <row r="71" spans="1:14" ht="14.4" customHeight="1" x14ac:dyDescent="0.3">
      <c r="A71" s="170"/>
      <c r="B71" t="s">
        <v>413</v>
      </c>
      <c r="C71" s="30"/>
      <c r="D71" s="53">
        <f>SUM(D53:D70)</f>
        <v>1824</v>
      </c>
      <c r="E71" s="53">
        <f>SUM(E53:E70)</f>
        <v>72</v>
      </c>
      <c r="F71" s="49">
        <f>SUM(F43:F70)</f>
        <v>2665.5</v>
      </c>
      <c r="H71" t="s">
        <v>413</v>
      </c>
      <c r="J71" s="53">
        <f>SUM(J43:J69)</f>
        <v>1694</v>
      </c>
    </row>
    <row r="72" spans="1:14" x14ac:dyDescent="0.3">
      <c r="A72" s="55"/>
      <c r="B72" s="55"/>
      <c r="C72" s="56"/>
      <c r="D72" s="55"/>
      <c r="E72" s="55"/>
      <c r="F72" s="55"/>
      <c r="G72" s="55"/>
      <c r="H72" s="55"/>
      <c r="I72" s="56"/>
      <c r="J72" s="55"/>
      <c r="K72" s="116"/>
    </row>
    <row r="73" spans="1:14" x14ac:dyDescent="0.3">
      <c r="A73" s="170" t="s">
        <v>408</v>
      </c>
      <c r="B73" t="s">
        <v>534</v>
      </c>
      <c r="C73" s="30">
        <v>9</v>
      </c>
      <c r="D73" s="20">
        <f>C73*18-E73</f>
        <v>162</v>
      </c>
      <c r="E73" s="20">
        <v>0</v>
      </c>
      <c r="F73" s="105">
        <f>SUM(D73:E73)</f>
        <v>162</v>
      </c>
      <c r="H73" t="s">
        <v>411</v>
      </c>
      <c r="I73" s="78" t="s">
        <v>247</v>
      </c>
      <c r="J73" s="20">
        <v>340</v>
      </c>
      <c r="K73" s="115">
        <v>45841</v>
      </c>
      <c r="M73" s="149" t="s">
        <v>415</v>
      </c>
    </row>
    <row r="74" spans="1:14" x14ac:dyDescent="0.3">
      <c r="A74" s="170"/>
      <c r="B74" t="s">
        <v>540</v>
      </c>
      <c r="C74" s="30">
        <v>4</v>
      </c>
      <c r="D74" s="20">
        <f>C74*9-E74</f>
        <v>27</v>
      </c>
      <c r="E74" s="20">
        <v>9</v>
      </c>
      <c r="F74" s="44">
        <f>SUM(D74:E74)</f>
        <v>36</v>
      </c>
      <c r="H74" t="s">
        <v>412</v>
      </c>
      <c r="I74" s="78" t="s">
        <v>247</v>
      </c>
      <c r="J74" s="20">
        <v>340</v>
      </c>
      <c r="K74" s="115">
        <v>45841</v>
      </c>
      <c r="M74" t="s">
        <v>554</v>
      </c>
      <c r="N74" s="20">
        <v>10</v>
      </c>
    </row>
    <row r="75" spans="1:14" x14ac:dyDescent="0.3">
      <c r="A75" s="170"/>
      <c r="B75" t="s">
        <v>542</v>
      </c>
      <c r="C75" s="30">
        <v>1</v>
      </c>
      <c r="D75" s="20">
        <f>C75*21-E75</f>
        <v>21</v>
      </c>
      <c r="E75" s="20"/>
      <c r="F75" s="44">
        <f>SUM(D75:E75)</f>
        <v>21</v>
      </c>
      <c r="I75" s="78"/>
      <c r="J75" s="20"/>
      <c r="M75" t="s">
        <v>262</v>
      </c>
      <c r="N75" s="20">
        <v>28.4</v>
      </c>
    </row>
    <row r="76" spans="1:14" x14ac:dyDescent="0.3">
      <c r="A76" s="170"/>
      <c r="B76" t="s">
        <v>536</v>
      </c>
      <c r="C76" s="180">
        <v>9</v>
      </c>
      <c r="D76" s="20">
        <f>C76*18-E76</f>
        <v>162</v>
      </c>
      <c r="E76" s="20"/>
      <c r="F76" s="44">
        <f t="shared" ref="F76:F77" si="2">SUM(D76:E76)</f>
        <v>162</v>
      </c>
      <c r="I76" s="78"/>
      <c r="J76" s="20"/>
      <c r="M76" t="s">
        <v>555</v>
      </c>
      <c r="N76" s="20">
        <v>4.8499999999999996</v>
      </c>
    </row>
    <row r="77" spans="1:14" x14ac:dyDescent="0.3">
      <c r="A77" s="170"/>
      <c r="B77" t="s">
        <v>532</v>
      </c>
      <c r="C77" s="180">
        <v>4</v>
      </c>
      <c r="D77" s="20">
        <f>C77*9-E77</f>
        <v>36</v>
      </c>
      <c r="E77" s="20"/>
      <c r="F77" s="44">
        <f t="shared" si="2"/>
        <v>36</v>
      </c>
      <c r="G77" s="181">
        <f>F73+F74+F75+F76+F77</f>
        <v>417</v>
      </c>
      <c r="H77" t="s">
        <v>154</v>
      </c>
      <c r="I77" s="78" t="s">
        <v>247</v>
      </c>
      <c r="J77" s="20">
        <v>403.75</v>
      </c>
      <c r="K77" s="115">
        <v>45642</v>
      </c>
      <c r="M77" t="s">
        <v>556</v>
      </c>
      <c r="N77" s="20">
        <v>5.57</v>
      </c>
    </row>
    <row r="78" spans="1:14" x14ac:dyDescent="0.3">
      <c r="A78" s="170"/>
      <c r="C78" s="30"/>
      <c r="D78" s="20"/>
      <c r="E78" s="20"/>
      <c r="F78" s="44"/>
      <c r="G78" s="129"/>
      <c r="I78" s="78"/>
      <c r="J78" s="20"/>
      <c r="M78" t="s">
        <v>557</v>
      </c>
      <c r="N78" s="20">
        <v>11.82</v>
      </c>
    </row>
    <row r="79" spans="1:14" x14ac:dyDescent="0.3">
      <c r="A79" s="170"/>
      <c r="C79" s="30"/>
      <c r="D79" s="20"/>
      <c r="E79" s="20"/>
      <c r="F79" s="44"/>
      <c r="G79" s="44"/>
      <c r="H79" s="154" t="s">
        <v>562</v>
      </c>
      <c r="I79" s="78" t="s">
        <v>247</v>
      </c>
      <c r="J79" s="20">
        <v>60.64</v>
      </c>
      <c r="K79" s="115">
        <v>45771</v>
      </c>
      <c r="N79" s="53">
        <f>SUM(N74:N78)</f>
        <v>60.64</v>
      </c>
    </row>
    <row r="80" spans="1:14" ht="14.4" customHeight="1" x14ac:dyDescent="0.3">
      <c r="A80" s="170"/>
      <c r="B80" t="s">
        <v>199</v>
      </c>
      <c r="C80" s="30">
        <v>25</v>
      </c>
      <c r="D80" s="20">
        <f>C80*18-E80</f>
        <v>432</v>
      </c>
      <c r="E80" s="20">
        <v>18</v>
      </c>
      <c r="F80" s="105">
        <f>SUM(D80:E80)</f>
        <v>450</v>
      </c>
      <c r="I80" s="78"/>
      <c r="J80" s="20"/>
    </row>
    <row r="81" spans="1:14" ht="14.4" customHeight="1" x14ac:dyDescent="0.3">
      <c r="A81" s="170"/>
      <c r="B81" t="s">
        <v>200</v>
      </c>
      <c r="C81" s="30">
        <v>10</v>
      </c>
      <c r="D81" s="20">
        <f>C81*9-E81</f>
        <v>90</v>
      </c>
      <c r="E81" s="20"/>
      <c r="F81" s="105">
        <f>SUM(D81:E81)</f>
        <v>90</v>
      </c>
      <c r="I81" s="78"/>
      <c r="J81" s="20"/>
    </row>
    <row r="82" spans="1:14" ht="14.4" customHeight="1" x14ac:dyDescent="0.3">
      <c r="A82" s="170"/>
      <c r="B82" t="s">
        <v>223</v>
      </c>
      <c r="C82" s="30">
        <v>1</v>
      </c>
      <c r="D82" s="20">
        <f>C82*4.5-E82</f>
        <v>4.5</v>
      </c>
      <c r="E82" s="20"/>
      <c r="F82" s="105">
        <f>SUM(D82:E82)</f>
        <v>4.5</v>
      </c>
      <c r="G82" s="53">
        <f>F80+F81+F82</f>
        <v>544.5</v>
      </c>
      <c r="H82" s="154" t="s">
        <v>563</v>
      </c>
      <c r="I82" s="78" t="s">
        <v>247</v>
      </c>
      <c r="J82" s="20">
        <v>76.63</v>
      </c>
      <c r="K82" s="115">
        <v>45842</v>
      </c>
      <c r="M82" s="149" t="s">
        <v>415</v>
      </c>
    </row>
    <row r="83" spans="1:14" ht="14.4" customHeight="1" x14ac:dyDescent="0.3">
      <c r="A83" s="170"/>
      <c r="C83" s="30"/>
      <c r="D83" s="20"/>
      <c r="E83" s="20"/>
      <c r="F83" s="105"/>
      <c r="G83" s="129"/>
      <c r="I83" s="78"/>
      <c r="J83" s="20"/>
      <c r="M83" t="s">
        <v>558</v>
      </c>
      <c r="N83" s="20">
        <v>6</v>
      </c>
    </row>
    <row r="84" spans="1:14" ht="14.4" customHeight="1" x14ac:dyDescent="0.3">
      <c r="A84" s="170"/>
      <c r="C84" s="30"/>
      <c r="D84" s="20"/>
      <c r="E84" s="20"/>
      <c r="F84" s="105"/>
      <c r="I84" s="78"/>
      <c r="J84" s="20"/>
      <c r="M84" t="s">
        <v>559</v>
      </c>
      <c r="N84" s="20">
        <v>5.5</v>
      </c>
    </row>
    <row r="85" spans="1:14" ht="14.4" customHeight="1" x14ac:dyDescent="0.3">
      <c r="A85" s="170"/>
      <c r="B85" t="s">
        <v>403</v>
      </c>
      <c r="C85" s="30">
        <v>20</v>
      </c>
      <c r="D85" s="20">
        <f>C85*18-E85</f>
        <v>360</v>
      </c>
      <c r="E85" s="20">
        <v>0</v>
      </c>
      <c r="F85" s="105">
        <f>SUM(D85:E85)</f>
        <v>360</v>
      </c>
      <c r="H85" t="s">
        <v>410</v>
      </c>
      <c r="I85" s="78" t="s">
        <v>247</v>
      </c>
      <c r="J85" s="20">
        <v>403.75</v>
      </c>
      <c r="K85" s="115">
        <v>45642</v>
      </c>
      <c r="M85" t="s">
        <v>560</v>
      </c>
      <c r="N85" s="20">
        <v>6.12</v>
      </c>
    </row>
    <row r="86" spans="1:14" ht="14.4" customHeight="1" x14ac:dyDescent="0.3">
      <c r="A86" s="170"/>
      <c r="B86" t="s">
        <v>692</v>
      </c>
      <c r="C86" s="30">
        <v>1</v>
      </c>
      <c r="D86" s="20">
        <f>C86*15-E86</f>
        <v>15</v>
      </c>
      <c r="E86" s="20">
        <v>0</v>
      </c>
      <c r="F86" s="105">
        <f>SUM(D86:E86)</f>
        <v>15</v>
      </c>
      <c r="J86" s="20"/>
      <c r="M86" t="s">
        <v>264</v>
      </c>
      <c r="N86" s="20">
        <v>22.84</v>
      </c>
    </row>
    <row r="87" spans="1:14" ht="14.4" customHeight="1" x14ac:dyDescent="0.3">
      <c r="A87" s="170"/>
      <c r="B87" t="s">
        <v>404</v>
      </c>
      <c r="C87" s="30">
        <v>3</v>
      </c>
      <c r="D87" s="20">
        <f>C87*9-E87</f>
        <v>27</v>
      </c>
      <c r="E87" s="20">
        <v>0</v>
      </c>
      <c r="F87" s="105">
        <f>SUM(D87:E87)</f>
        <v>27</v>
      </c>
      <c r="H87" s="176" t="s">
        <v>712</v>
      </c>
      <c r="I87" s="180" t="s">
        <v>247</v>
      </c>
      <c r="J87" s="178">
        <v>36</v>
      </c>
      <c r="K87" s="183">
        <v>45838</v>
      </c>
      <c r="M87" t="s">
        <v>559</v>
      </c>
      <c r="N87" s="20">
        <v>5.5</v>
      </c>
    </row>
    <row r="88" spans="1:14" ht="14.4" customHeight="1" x14ac:dyDescent="0.3">
      <c r="A88" s="170"/>
      <c r="B88" t="s">
        <v>693</v>
      </c>
      <c r="C88" s="30">
        <v>1</v>
      </c>
      <c r="D88" s="20">
        <f>C88*4.5-E88</f>
        <v>4.5</v>
      </c>
      <c r="E88" s="20">
        <v>0</v>
      </c>
      <c r="F88" s="105">
        <f>SUM(D88:E88)</f>
        <v>4.5</v>
      </c>
      <c r="G88" s="53">
        <f>F85+F86+F87+F88</f>
        <v>406.5</v>
      </c>
      <c r="H88" s="176" t="s">
        <v>711</v>
      </c>
      <c r="I88" s="180" t="s">
        <v>247</v>
      </c>
      <c r="J88" s="178">
        <v>36</v>
      </c>
      <c r="K88" s="183">
        <v>45770</v>
      </c>
      <c r="M88" t="s">
        <v>556</v>
      </c>
      <c r="N88" s="20">
        <v>8.49</v>
      </c>
    </row>
    <row r="89" spans="1:14" ht="14.4" customHeight="1" x14ac:dyDescent="0.3">
      <c r="A89" s="170"/>
      <c r="C89" s="30"/>
      <c r="D89" s="20"/>
      <c r="E89" s="20"/>
      <c r="F89" s="105"/>
      <c r="G89" s="129"/>
      <c r="J89" s="20"/>
      <c r="M89" t="s">
        <v>561</v>
      </c>
      <c r="N89" s="20">
        <v>6.07</v>
      </c>
    </row>
    <row r="90" spans="1:14" ht="14.4" customHeight="1" x14ac:dyDescent="0.3">
      <c r="A90" s="170"/>
      <c r="C90" s="30"/>
      <c r="D90" s="20"/>
      <c r="E90" s="20"/>
      <c r="F90" s="48"/>
      <c r="M90" t="s">
        <v>260</v>
      </c>
      <c r="N90" s="20">
        <v>16.11</v>
      </c>
    </row>
    <row r="91" spans="1:14" ht="14.4" customHeight="1" x14ac:dyDescent="0.3">
      <c r="A91" s="170"/>
      <c r="B91" t="s">
        <v>413</v>
      </c>
      <c r="C91" s="30"/>
      <c r="D91" s="53">
        <f>SUM(D73:D90)</f>
        <v>1341</v>
      </c>
      <c r="E91" s="53">
        <f>SUM(E73:E90)</f>
        <v>27</v>
      </c>
      <c r="F91" s="49">
        <f>SUM(F73:F89)</f>
        <v>1368</v>
      </c>
      <c r="H91" t="s">
        <v>413</v>
      </c>
      <c r="J91" s="53">
        <f>SUM(J73:J90)</f>
        <v>1696.77</v>
      </c>
      <c r="N91" s="53">
        <f>SUM(N83:N90)</f>
        <v>76.63</v>
      </c>
    </row>
    <row r="92" spans="1:14" x14ac:dyDescent="0.3">
      <c r="A92" s="55"/>
      <c r="B92" s="55"/>
      <c r="C92" s="56"/>
      <c r="D92" s="55"/>
      <c r="E92" s="55"/>
      <c r="F92" s="55"/>
      <c r="G92" s="55"/>
      <c r="H92" s="55"/>
      <c r="I92" s="56"/>
      <c r="J92" s="55"/>
      <c r="K92" s="116"/>
      <c r="N92" s="53"/>
    </row>
    <row r="93" spans="1:14" x14ac:dyDescent="0.3">
      <c r="A93" s="55"/>
      <c r="B93" s="55"/>
      <c r="C93" s="56"/>
      <c r="D93" s="55"/>
      <c r="E93" s="55"/>
      <c r="F93" s="55"/>
      <c r="G93" s="55"/>
      <c r="H93" s="55"/>
      <c r="I93" s="56"/>
      <c r="J93" s="55"/>
      <c r="K93" s="116"/>
    </row>
    <row r="94" spans="1:14" x14ac:dyDescent="0.3">
      <c r="A94" s="170" t="s">
        <v>409</v>
      </c>
      <c r="B94" s="176" t="s">
        <v>541</v>
      </c>
      <c r="C94" s="180">
        <v>1</v>
      </c>
      <c r="D94" s="178">
        <f>C94*18-E94</f>
        <v>18</v>
      </c>
      <c r="E94" s="178"/>
      <c r="F94" s="182">
        <f>SUM(D94:E94)</f>
        <v>18</v>
      </c>
      <c r="I94" s="78"/>
      <c r="J94" s="20"/>
    </row>
    <row r="95" spans="1:14" ht="15.6" x14ac:dyDescent="0.3">
      <c r="A95" s="170"/>
      <c r="B95" t="s">
        <v>208</v>
      </c>
      <c r="C95" s="30"/>
      <c r="D95" s="20">
        <f>C95*15-E95</f>
        <v>0</v>
      </c>
      <c r="E95" s="20"/>
      <c r="F95" s="47">
        <f>SUM(D95:E95)</f>
        <v>0</v>
      </c>
      <c r="I95" s="78"/>
      <c r="J95" s="20"/>
    </row>
    <row r="96" spans="1:14" x14ac:dyDescent="0.3">
      <c r="A96" s="170"/>
      <c r="C96" s="30"/>
      <c r="D96" s="20"/>
      <c r="E96" s="20"/>
      <c r="F96" s="44"/>
      <c r="I96" s="78"/>
      <c r="J96" s="20"/>
    </row>
    <row r="97" spans="1:11" x14ac:dyDescent="0.3">
      <c r="A97" s="170"/>
      <c r="C97" s="30"/>
      <c r="D97" s="20"/>
      <c r="E97" s="20"/>
      <c r="F97" s="44"/>
      <c r="J97" s="20"/>
    </row>
    <row r="98" spans="1:11" x14ac:dyDescent="0.3">
      <c r="A98" s="170"/>
      <c r="B98" s="64" t="s">
        <v>105</v>
      </c>
      <c r="C98" s="30"/>
      <c r="D98" s="20"/>
      <c r="E98" s="20"/>
      <c r="F98" s="44"/>
      <c r="J98" s="20"/>
    </row>
    <row r="99" spans="1:11" x14ac:dyDescent="0.3">
      <c r="A99" s="170"/>
      <c r="C99" s="30"/>
      <c r="D99" s="20"/>
      <c r="E99" s="20"/>
      <c r="F99" s="48"/>
    </row>
    <row r="100" spans="1:11" x14ac:dyDescent="0.3">
      <c r="A100" s="170"/>
      <c r="B100" t="s">
        <v>413</v>
      </c>
      <c r="C100" s="30"/>
      <c r="D100" s="20"/>
      <c r="E100" s="20"/>
      <c r="F100" s="49">
        <f>SUM(F94:F97)</f>
        <v>18</v>
      </c>
      <c r="H100" t="s">
        <v>413</v>
      </c>
      <c r="J100" s="53">
        <f>SUM(J94:J99)</f>
        <v>0</v>
      </c>
    </row>
    <row r="101" spans="1:11" x14ac:dyDescent="0.3">
      <c r="A101" s="55"/>
      <c r="B101" s="55"/>
      <c r="C101" s="56"/>
      <c r="D101" s="55"/>
      <c r="E101" s="55"/>
      <c r="F101" s="55"/>
      <c r="G101" s="55"/>
      <c r="H101" s="55"/>
      <c r="I101" s="56"/>
      <c r="J101" s="55"/>
      <c r="K101" s="116"/>
    </row>
    <row r="104" spans="1:11" s="59" customFormat="1" x14ac:dyDescent="0.3">
      <c r="A104" s="59" t="s">
        <v>79</v>
      </c>
      <c r="F104" s="61">
        <f>F21+F41+F71+F91+F100</f>
        <v>6909.5</v>
      </c>
      <c r="I104" s="104"/>
      <c r="J104" s="61">
        <f>J21+J41+J71+J91+J100</f>
        <v>5508.83</v>
      </c>
      <c r="K104" s="117"/>
    </row>
  </sheetData>
  <mergeCells count="8">
    <mergeCell ref="A94:A100"/>
    <mergeCell ref="A1:J1"/>
    <mergeCell ref="B3:F3"/>
    <mergeCell ref="H3:J3"/>
    <mergeCell ref="A5:A21"/>
    <mergeCell ref="A23:A41"/>
    <mergeCell ref="A43:A71"/>
    <mergeCell ref="A73:A91"/>
  </mergeCells>
  <pageMargins left="0.7" right="0.7" top="0.75" bottom="0.75" header="0.3" footer="0.3"/>
  <pageSetup scale="78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8B25C562-B798-4A42-BC5D-8FA2E870A524}"/>
</file>

<file path=customXml/itemProps2.xml><?xml version="1.0" encoding="utf-8"?>
<ds:datastoreItem xmlns:ds="http://schemas.openxmlformats.org/officeDocument/2006/customXml" ds:itemID="{A87804FC-F171-4EDB-9EB4-3BDEA094771E}"/>
</file>

<file path=customXml/itemProps3.xml><?xml version="1.0" encoding="utf-8"?>
<ds:datastoreItem xmlns:ds="http://schemas.openxmlformats.org/officeDocument/2006/customXml" ds:itemID="{130E187F-1AFC-4C34-A293-621CCE240F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Summary</vt:lpstr>
      <vt:lpstr>Accounts</vt:lpstr>
      <vt:lpstr>Bank Account</vt:lpstr>
      <vt:lpstr>CashBook</vt:lpstr>
      <vt:lpstr>Sat_Workshops</vt:lpstr>
      <vt:lpstr>Club_G</vt:lpstr>
      <vt:lpstr>Club_D</vt:lpstr>
      <vt:lpstr>Main_Feis</vt:lpstr>
      <vt:lpstr>Seinn Coisir Ceol</vt:lpstr>
      <vt:lpstr>Instruments</vt:lpstr>
      <vt:lpstr>Grants</vt:lpstr>
      <vt:lpstr>General Inc &amp; Exp</vt:lpstr>
      <vt:lpstr>Misc </vt:lpstr>
      <vt:lpstr>Accounts!Print_Area</vt:lpstr>
      <vt:lpstr>'Bank Account'!Print_Area</vt:lpstr>
      <vt:lpstr>CashBook!Print_Area</vt:lpstr>
      <vt:lpstr>Club_D!Print_Area</vt:lpstr>
      <vt:lpstr>Club_G!Print_Area</vt:lpstr>
      <vt:lpstr>'General Inc &amp; Exp'!Print_Area</vt:lpstr>
      <vt:lpstr>Grants!Print_Area</vt:lpstr>
      <vt:lpstr>Instruments!Print_Area</vt:lpstr>
      <vt:lpstr>Main_Feis!Print_Area</vt:lpstr>
      <vt:lpstr>'Misc '!Print_Area</vt:lpstr>
      <vt:lpstr>Sat_Workshops!Print_Area</vt:lpstr>
      <vt:lpstr>'Seinn Coisir Ceol'!Print_Area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Spence</dc:creator>
  <cp:lastModifiedBy>Nichola Sloss</cp:lastModifiedBy>
  <cp:lastPrinted>2020-01-19T15:02:00Z</cp:lastPrinted>
  <dcterms:created xsi:type="dcterms:W3CDTF">2014-12-14T19:11:47Z</dcterms:created>
  <dcterms:modified xsi:type="dcterms:W3CDTF">2025-10-30T01:16:13Z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  <property fmtid="{D5CDD505-2E9C-101B-9397-08002B2CF9AE}" pid="3" name="MediaServiceImageTags">
    <vt:lpwstr/>
  </property>
</Properties>
</file>