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3.xml" ContentType="application/vnd.ms-excel.threaded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24226"/>
  <mc:AlternateContent xmlns:mc="http://schemas.openxmlformats.org/markup-compatibility/2006">
    <mc:Choice Requires="x15">
      <x15ac:absPath xmlns:x15ac="http://schemas.microsoft.com/office/spreadsheetml/2010/11/ac" url="C:\mum_and_dad\dad\church\session\fff\finance\accounts\2026\"/>
    </mc:Choice>
  </mc:AlternateContent>
  <xr:revisionPtr revIDLastSave="0" documentId="13_ncr:1_{FC6F5911-83FE-44C4-BA57-51650AB56CB6}" xr6:coauthVersionLast="47" xr6:coauthVersionMax="47" xr10:uidLastSave="{00000000-0000-0000-0000-000000000000}"/>
  <bookViews>
    <workbookView xWindow="-98" yWindow="-98" windowWidth="21795" windowHeight="12975" tabRatio="849" firstSheet="15" activeTab="15" xr2:uid="{00000000-000D-0000-FFFF-FFFF00000000}"/>
  </bookViews>
  <sheets>
    <sheet name="Comments" sheetId="39" r:id="rId1"/>
    <sheet name="Income - Overall" sheetId="8" r:id="rId2"/>
    <sheet name="Expend - Overall" sheetId="9" r:id="rId3"/>
    <sheet name="Income - General" sheetId="14" r:id="rId4"/>
    <sheet name="Expend - General" sheetId="5" r:id="rId5"/>
    <sheet name="FundSummary" sheetId="30" state="hidden" r:id="rId6"/>
    <sheet name="ABA" sheetId="33" state="hidden" r:id="rId7"/>
    <sheet name="TB Check" sheetId="34" state="hidden" r:id="rId8"/>
    <sheet name="Income - Forecast" sheetId="36" state="hidden" r:id="rId9"/>
    <sheet name="Income - OverallBUD" sheetId="22" state="hidden" r:id="rId10"/>
    <sheet name="Expend - OverallBUD" sheetId="23" state="hidden" r:id="rId11"/>
    <sheet name="Income - OverallPY" sheetId="24" state="hidden" r:id="rId12"/>
    <sheet name="Expend - Forecast" sheetId="37" state="hidden" r:id="rId13"/>
    <sheet name="Expend - OverallPY" sheetId="25" state="hidden" r:id="rId14"/>
    <sheet name="People - Forecast" sheetId="38" state="hidden" r:id="rId15"/>
    <sheet name="Expend - Fabric" sheetId="6" r:id="rId16"/>
    <sheet name="adjustments" sheetId="40" state="hidden" r:id="rId17"/>
    <sheet name="Income - FlowerFund" sheetId="19" state="hidden" r:id="rId18"/>
    <sheet name="Expend - FlowerFund" sheetId="20" state="hidden" r:id="rId19"/>
    <sheet name="Income - Fabric" sheetId="17" state="hidden" r:id="rId20"/>
    <sheet name="Income - SfSFund" sheetId="27" state="hidden" r:id="rId21"/>
    <sheet name="Expend - SfSFund" sheetId="13" state="hidden" r:id="rId22"/>
    <sheet name="Income - SSchoolFund" sheetId="1" state="hidden" r:id="rId23"/>
    <sheet name="Expend - SSchoolFund" sheetId="11" state="hidden" r:id="rId24"/>
    <sheet name="Expend - ReithMemorial" sheetId="12" state="hidden" r:id="rId25"/>
    <sheet name="Income - Guild" sheetId="15" state="hidden" r:id="rId26"/>
    <sheet name="Expend - Guild" sheetId="16" state="hidden" r:id="rId27"/>
    <sheet name="Income - Friday" sheetId="31" state="hidden" r:id="rId28"/>
    <sheet name="Expend - Friday" sheetId="32" state="hidden" r:id="rId29"/>
    <sheet name="Income - Organ" sheetId="26" state="hidden" r:id="rId30"/>
    <sheet name="Expend - Organ" sheetId="18" state="hidden" r:id="rId31"/>
    <sheet name="Income - Benevolent" sheetId="28" state="hidden" r:id="rId32"/>
    <sheet name="Expend - Benevolent" sheetId="29" state="hidden" r:id="rId33"/>
    <sheet name="Expend - JrChurch" sheetId="21" state="hidden" r:id="rId34"/>
    <sheet name="Cashflow" sheetId="10" state="hidden" r:id="rId35"/>
  </sheets>
  <externalReferences>
    <externalReference r:id="rId36"/>
  </externalReferences>
  <definedNames>
    <definedName name="_xlnm.Print_Area" localSheetId="32">'Expend - Benevolent'!$A$1:$O$79</definedName>
    <definedName name="_xlnm.Print_Area" localSheetId="15">'Expend - Fabric'!$A$1:$O$63</definedName>
    <definedName name="_xlnm.Print_Area" localSheetId="18">'Expend - FlowerFund'!$A$1:$O$80</definedName>
    <definedName name="_xlnm.Print_Area" localSheetId="12">'Expend - Forecast'!$A$1:$AD$75</definedName>
    <definedName name="_xlnm.Print_Area" localSheetId="28">'Expend - Friday'!$A$1:$O$79</definedName>
    <definedName name="_xlnm.Print_Area" localSheetId="4">'Expend - General'!$A$1:$O$63</definedName>
    <definedName name="_xlnm.Print_Area" localSheetId="26">'Expend - Guild'!$A$1:$O$79</definedName>
    <definedName name="_xlnm.Print_Area" localSheetId="33">'Expend - JrChurch'!$A$1:$O$79</definedName>
    <definedName name="_xlnm.Print_Area" localSheetId="30">'Expend - Organ'!$A$1:$O$79</definedName>
    <definedName name="_xlnm.Print_Area" localSheetId="2">'Expend - Overall'!$A$1:$AD$62</definedName>
    <definedName name="_xlnm.Print_Area" localSheetId="10">'Expend - OverallBUD'!$A$1:$O$69</definedName>
    <definedName name="_xlnm.Print_Area" localSheetId="13">'Expend - OverallPY'!$A$1:$O$66</definedName>
    <definedName name="_xlnm.Print_Area" localSheetId="24">'Expend - ReithMemorial'!$A$1:$O$80</definedName>
    <definedName name="_xlnm.Print_Area" localSheetId="21">'Expend - SfSFund'!$A$1:$O$80</definedName>
    <definedName name="_xlnm.Print_Area" localSheetId="23">'Expend - SSchoolFund'!$A$1:$O$80</definedName>
    <definedName name="_xlnm.Print_Area" localSheetId="31">'Income - Benevolent'!$A$1:$O$69</definedName>
    <definedName name="_xlnm.Print_Area" localSheetId="19">'Income - Fabric'!$A$1:$O$65</definedName>
    <definedName name="_xlnm.Print_Area" localSheetId="17">'Income - FlowerFund'!$A$1:$O$65</definedName>
    <definedName name="_xlnm.Print_Area" localSheetId="8">'Income - Forecast'!$A$1:$AD$67</definedName>
    <definedName name="_xlnm.Print_Area" localSheetId="27">'Income - Friday'!$A$1:$O$69</definedName>
    <definedName name="_xlnm.Print_Area" localSheetId="3">'Income - General'!$A$1:$O$64</definedName>
    <definedName name="_xlnm.Print_Area" localSheetId="25">'Income - Guild'!$A$1:$O$69</definedName>
    <definedName name="_xlnm.Print_Area" localSheetId="29">'Income - Organ'!$A$1:$O$69</definedName>
    <definedName name="_xlnm.Print_Area" localSheetId="1">'Income - Overall'!$A$1:$AD$65</definedName>
    <definedName name="_xlnm.Print_Area" localSheetId="9">'Income - OverallBUD'!$A$1:$O$67</definedName>
    <definedName name="_xlnm.Print_Area" localSheetId="11">'Income - OverallPY'!$A$1:$O$61</definedName>
    <definedName name="_xlnm.Print_Area" localSheetId="20">'Income - SfSFund'!$A$1:$O$69</definedName>
    <definedName name="_xlnm.Print_Area" localSheetId="22">'Income - SSchoolFund'!$A$1:$O$69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5" i="5" l="1"/>
  <c r="M15" i="5"/>
  <c r="L15" i="5"/>
  <c r="K15" i="5"/>
  <c r="J15" i="5"/>
  <c r="I15" i="5"/>
  <c r="H15" i="5"/>
  <c r="E34" i="6"/>
  <c r="D15" i="8"/>
  <c r="C15" i="8"/>
  <c r="B15" i="8"/>
  <c r="D14" i="8"/>
  <c r="C14" i="8"/>
  <c r="B14" i="8"/>
  <c r="M31" i="9"/>
  <c r="L31" i="9"/>
  <c r="K31" i="9"/>
  <c r="J31" i="9"/>
  <c r="I31" i="9"/>
  <c r="H31" i="9"/>
  <c r="G31" i="9"/>
  <c r="F31" i="9"/>
  <c r="E31" i="9"/>
  <c r="D31" i="9"/>
  <c r="C31" i="9"/>
  <c r="B31" i="9"/>
  <c r="O60" i="23"/>
  <c r="M57" i="24" l="1"/>
  <c r="L57" i="24"/>
  <c r="K57" i="24"/>
  <c r="J57" i="24"/>
  <c r="I57" i="24"/>
  <c r="H57" i="24"/>
  <c r="G57" i="24"/>
  <c r="F57" i="24"/>
  <c r="E57" i="24"/>
  <c r="D57" i="24"/>
  <c r="C57" i="24"/>
  <c r="B57" i="24"/>
  <c r="N57" i="24" s="1"/>
  <c r="M56" i="24"/>
  <c r="L56" i="24"/>
  <c r="K56" i="24"/>
  <c r="J56" i="24"/>
  <c r="I56" i="24"/>
  <c r="H56" i="24"/>
  <c r="H58" i="24" s="1"/>
  <c r="G56" i="24"/>
  <c r="F56" i="24"/>
  <c r="E56" i="24"/>
  <c r="D56" i="24"/>
  <c r="C56" i="24"/>
  <c r="B56" i="24"/>
  <c r="N56" i="24" s="1"/>
  <c r="M55" i="24"/>
  <c r="L55" i="24"/>
  <c r="K55" i="24"/>
  <c r="J55" i="24"/>
  <c r="I55" i="24"/>
  <c r="H55" i="24"/>
  <c r="G55" i="24"/>
  <c r="F55" i="24"/>
  <c r="E55" i="24"/>
  <c r="D55" i="24"/>
  <c r="C55" i="24"/>
  <c r="B55" i="24"/>
  <c r="M54" i="24"/>
  <c r="L54" i="24"/>
  <c r="K54" i="24"/>
  <c r="J54" i="24"/>
  <c r="I54" i="24"/>
  <c r="H54" i="24"/>
  <c r="G54" i="24"/>
  <c r="F54" i="24"/>
  <c r="E54" i="24"/>
  <c r="D54" i="24"/>
  <c r="C54" i="24"/>
  <c r="B54" i="24"/>
  <c r="N54" i="24" s="1"/>
  <c r="M53" i="24"/>
  <c r="L53" i="24"/>
  <c r="K53" i="24"/>
  <c r="J53" i="24"/>
  <c r="I53" i="24"/>
  <c r="H53" i="24"/>
  <c r="G53" i="24"/>
  <c r="F53" i="24"/>
  <c r="E53" i="24"/>
  <c r="D53" i="24"/>
  <c r="D58" i="24" s="1"/>
  <c r="C53" i="24"/>
  <c r="B53" i="24"/>
  <c r="M47" i="24"/>
  <c r="L47" i="24"/>
  <c r="K47" i="24"/>
  <c r="J47" i="24"/>
  <c r="I47" i="24"/>
  <c r="H47" i="24"/>
  <c r="G47" i="24"/>
  <c r="F47" i="24"/>
  <c r="E47" i="24"/>
  <c r="D47" i="24"/>
  <c r="C47" i="24"/>
  <c r="B47" i="24"/>
  <c r="M46" i="24"/>
  <c r="L46" i="24"/>
  <c r="K46" i="24"/>
  <c r="K48" i="24" s="1"/>
  <c r="J46" i="24"/>
  <c r="J48" i="24" s="1"/>
  <c r="I46" i="24"/>
  <c r="I48" i="24" s="1"/>
  <c r="H46" i="24"/>
  <c r="G46" i="24"/>
  <c r="G48" i="24" s="1"/>
  <c r="F46" i="24"/>
  <c r="F48" i="24" s="1"/>
  <c r="E46" i="24"/>
  <c r="E48" i="24" s="1"/>
  <c r="D46" i="24"/>
  <c r="D48" i="24" s="1"/>
  <c r="C46" i="24"/>
  <c r="C48" i="24" s="1"/>
  <c r="B46" i="24"/>
  <c r="N46" i="24" s="1"/>
  <c r="D43" i="24"/>
  <c r="C43" i="24"/>
  <c r="M42" i="24"/>
  <c r="M43" i="24" s="1"/>
  <c r="L42" i="24"/>
  <c r="L43" i="24" s="1"/>
  <c r="K42" i="24"/>
  <c r="K43" i="24" s="1"/>
  <c r="J42" i="24"/>
  <c r="I42" i="24"/>
  <c r="I43" i="24" s="1"/>
  <c r="H42" i="24"/>
  <c r="H43" i="24" s="1"/>
  <c r="G42" i="24"/>
  <c r="G43" i="24" s="1"/>
  <c r="F42" i="24"/>
  <c r="F43" i="24" s="1"/>
  <c r="E42" i="24"/>
  <c r="E43" i="24" s="1"/>
  <c r="D42" i="24"/>
  <c r="C42" i="24"/>
  <c r="B42" i="24"/>
  <c r="B43" i="24" s="1"/>
  <c r="M36" i="24"/>
  <c r="L36" i="24"/>
  <c r="K36" i="24"/>
  <c r="J36" i="24"/>
  <c r="I36" i="24"/>
  <c r="H36" i="24"/>
  <c r="G36" i="24"/>
  <c r="F36" i="24"/>
  <c r="E36" i="24"/>
  <c r="D36" i="24"/>
  <c r="C36" i="24"/>
  <c r="B36" i="24"/>
  <c r="N36" i="24" s="1"/>
  <c r="M35" i="24"/>
  <c r="L35" i="24"/>
  <c r="K35" i="24"/>
  <c r="J35" i="24"/>
  <c r="I35" i="24"/>
  <c r="H35" i="24"/>
  <c r="H37" i="24" s="1"/>
  <c r="G35" i="24"/>
  <c r="F35" i="24"/>
  <c r="E35" i="24"/>
  <c r="D35" i="24"/>
  <c r="C35" i="24"/>
  <c r="B35" i="24"/>
  <c r="M34" i="24"/>
  <c r="L34" i="24"/>
  <c r="K34" i="24"/>
  <c r="J34" i="24"/>
  <c r="I34" i="24"/>
  <c r="H34" i="24"/>
  <c r="G34" i="24"/>
  <c r="F34" i="24"/>
  <c r="E34" i="24"/>
  <c r="D34" i="24"/>
  <c r="C34" i="24"/>
  <c r="B34" i="24"/>
  <c r="N34" i="24" s="1"/>
  <c r="M30" i="24"/>
  <c r="M31" i="24" s="1"/>
  <c r="L30" i="24"/>
  <c r="L31" i="24" s="1"/>
  <c r="K30" i="24"/>
  <c r="J30" i="24"/>
  <c r="I30" i="24"/>
  <c r="I31" i="24" s="1"/>
  <c r="H30" i="24"/>
  <c r="H31" i="24" s="1"/>
  <c r="G30" i="24"/>
  <c r="G31" i="24" s="1"/>
  <c r="F30" i="24"/>
  <c r="F31" i="24" s="1"/>
  <c r="E30" i="24"/>
  <c r="D30" i="24"/>
  <c r="D31" i="24" s="1"/>
  <c r="C30" i="24"/>
  <c r="C31" i="24" s="1"/>
  <c r="B30" i="24"/>
  <c r="B31" i="24" s="1"/>
  <c r="M26" i="24"/>
  <c r="L26" i="24"/>
  <c r="K26" i="24"/>
  <c r="K27" i="24" s="1"/>
  <c r="J26" i="24"/>
  <c r="J27" i="24" s="1"/>
  <c r="I26" i="24"/>
  <c r="I27" i="24" s="1"/>
  <c r="H26" i="24"/>
  <c r="H27" i="24" s="1"/>
  <c r="G26" i="24"/>
  <c r="F26" i="24"/>
  <c r="F27" i="24" s="1"/>
  <c r="E26" i="24"/>
  <c r="E27" i="24" s="1"/>
  <c r="D26" i="24"/>
  <c r="D27" i="24" s="1"/>
  <c r="C26" i="24"/>
  <c r="C27" i="24" s="1"/>
  <c r="B26" i="24"/>
  <c r="B27" i="24" s="1"/>
  <c r="M22" i="24"/>
  <c r="L22" i="24"/>
  <c r="K22" i="24"/>
  <c r="J22" i="24"/>
  <c r="I22" i="24"/>
  <c r="H22" i="24"/>
  <c r="G22" i="24"/>
  <c r="F22" i="24"/>
  <c r="E22" i="24"/>
  <c r="D22" i="24"/>
  <c r="C22" i="24"/>
  <c r="B22" i="24"/>
  <c r="N22" i="24" s="1"/>
  <c r="M21" i="24"/>
  <c r="L21" i="24"/>
  <c r="K21" i="24"/>
  <c r="J21" i="24"/>
  <c r="I21" i="24"/>
  <c r="H21" i="24"/>
  <c r="G21" i="24"/>
  <c r="F21" i="24"/>
  <c r="E21" i="24"/>
  <c r="D21" i="24"/>
  <c r="D23" i="24" s="1"/>
  <c r="C21" i="24"/>
  <c r="B21" i="24"/>
  <c r="N21" i="24" s="1"/>
  <c r="M20" i="24"/>
  <c r="L20" i="24"/>
  <c r="K20" i="24"/>
  <c r="J20" i="24"/>
  <c r="I20" i="24"/>
  <c r="H20" i="24"/>
  <c r="G20" i="24"/>
  <c r="F20" i="24"/>
  <c r="E20" i="24"/>
  <c r="D20" i="24"/>
  <c r="C20" i="24"/>
  <c r="B20" i="24"/>
  <c r="N20" i="24" s="1"/>
  <c r="M19" i="24"/>
  <c r="M23" i="24" s="1"/>
  <c r="L19" i="24"/>
  <c r="L23" i="24" s="1"/>
  <c r="K19" i="24"/>
  <c r="K23" i="24" s="1"/>
  <c r="J19" i="24"/>
  <c r="J23" i="24" s="1"/>
  <c r="I19" i="24"/>
  <c r="I23" i="24" s="1"/>
  <c r="H19" i="24"/>
  <c r="H23" i="24" s="1"/>
  <c r="G19" i="24"/>
  <c r="G23" i="24" s="1"/>
  <c r="F19" i="24"/>
  <c r="F23" i="24" s="1"/>
  <c r="E19" i="24"/>
  <c r="D19" i="24"/>
  <c r="C19" i="24"/>
  <c r="B19" i="24"/>
  <c r="N19" i="24" s="1"/>
  <c r="N23" i="24" s="1"/>
  <c r="M15" i="24"/>
  <c r="L15" i="24"/>
  <c r="K15" i="24"/>
  <c r="J15" i="24"/>
  <c r="I15" i="24"/>
  <c r="H15" i="24"/>
  <c r="G15" i="24"/>
  <c r="F15" i="24"/>
  <c r="E15" i="24"/>
  <c r="D15" i="24"/>
  <c r="C15" i="24"/>
  <c r="B15" i="24"/>
  <c r="N15" i="24" s="1"/>
  <c r="M14" i="24"/>
  <c r="L14" i="24"/>
  <c r="K14" i="24"/>
  <c r="J14" i="24"/>
  <c r="I14" i="24"/>
  <c r="H14" i="24"/>
  <c r="G14" i="24"/>
  <c r="F14" i="24"/>
  <c r="E14" i="24"/>
  <c r="D14" i="24"/>
  <c r="C14" i="24"/>
  <c r="B14" i="24"/>
  <c r="N14" i="24" s="1"/>
  <c r="M13" i="24"/>
  <c r="L13" i="24"/>
  <c r="K13" i="24"/>
  <c r="J13" i="24"/>
  <c r="I13" i="24"/>
  <c r="H13" i="24"/>
  <c r="G13" i="24"/>
  <c r="F13" i="24"/>
  <c r="E13" i="24"/>
  <c r="D13" i="24"/>
  <c r="C13" i="24"/>
  <c r="B13" i="24"/>
  <c r="N13" i="24" s="1"/>
  <c r="M12" i="24"/>
  <c r="L12" i="24"/>
  <c r="K12" i="24"/>
  <c r="J12" i="24"/>
  <c r="I12" i="24"/>
  <c r="H12" i="24"/>
  <c r="G12" i="24"/>
  <c r="F12" i="24"/>
  <c r="E12" i="24"/>
  <c r="D12" i="24"/>
  <c r="C12" i="24"/>
  <c r="B12" i="24"/>
  <c r="N12" i="24" s="1"/>
  <c r="M11" i="24"/>
  <c r="L11" i="24"/>
  <c r="L16" i="24" s="1"/>
  <c r="K11" i="24"/>
  <c r="J11" i="24"/>
  <c r="I11" i="24"/>
  <c r="H11" i="24"/>
  <c r="G11" i="24"/>
  <c r="F11" i="24"/>
  <c r="E11" i="24"/>
  <c r="D11" i="24"/>
  <c r="C11" i="24"/>
  <c r="B11" i="24"/>
  <c r="N11" i="24" s="1"/>
  <c r="M10" i="24"/>
  <c r="M16" i="24" s="1"/>
  <c r="L10" i="24"/>
  <c r="K10" i="24"/>
  <c r="J10" i="24"/>
  <c r="I10" i="24"/>
  <c r="H10" i="24"/>
  <c r="G10" i="24"/>
  <c r="F10" i="24"/>
  <c r="F16" i="24" s="1"/>
  <c r="E10" i="24"/>
  <c r="E16" i="24" s="1"/>
  <c r="D10" i="24"/>
  <c r="D16" i="24" s="1"/>
  <c r="C10" i="24"/>
  <c r="C16" i="24" s="1"/>
  <c r="B10" i="24"/>
  <c r="N10" i="24" s="1"/>
  <c r="F58" i="24" l="1"/>
  <c r="N55" i="24"/>
  <c r="I58" i="24"/>
  <c r="M58" i="24"/>
  <c r="L58" i="24"/>
  <c r="K58" i="24"/>
  <c r="J58" i="24"/>
  <c r="C58" i="24"/>
  <c r="B58" i="24"/>
  <c r="M48" i="24"/>
  <c r="L48" i="24"/>
  <c r="H48" i="24"/>
  <c r="B48" i="24"/>
  <c r="J43" i="24"/>
  <c r="I16" i="24"/>
  <c r="J16" i="24"/>
  <c r="N16" i="24"/>
  <c r="F37" i="24"/>
  <c r="E23" i="24"/>
  <c r="G16" i="24"/>
  <c r="H16" i="24"/>
  <c r="G37" i="24"/>
  <c r="N35" i="24"/>
  <c r="N37" i="24" s="1"/>
  <c r="M37" i="24"/>
  <c r="M39" i="24" s="1"/>
  <c r="L37" i="24"/>
  <c r="L39" i="24" s="1"/>
  <c r="K37" i="24"/>
  <c r="K39" i="24" s="1"/>
  <c r="J37" i="24"/>
  <c r="I37" i="24"/>
  <c r="E37" i="24"/>
  <c r="D37" i="24"/>
  <c r="C37" i="24"/>
  <c r="K31" i="24"/>
  <c r="J31" i="24"/>
  <c r="E31" i="24"/>
  <c r="M27" i="24"/>
  <c r="L27" i="24"/>
  <c r="G27" i="24"/>
  <c r="B23" i="24"/>
  <c r="C23" i="24"/>
  <c r="K16" i="24"/>
  <c r="E58" i="24"/>
  <c r="G58" i="24"/>
  <c r="C39" i="24"/>
  <c r="N30" i="24"/>
  <c r="N31" i="24" s="1"/>
  <c r="N53" i="24"/>
  <c r="B37" i="24"/>
  <c r="N47" i="24"/>
  <c r="N48" i="24" s="1"/>
  <c r="B16" i="24"/>
  <c r="N42" i="24"/>
  <c r="N43" i="24" s="1"/>
  <c r="N26" i="24"/>
  <c r="N27" i="24" s="1"/>
  <c r="D39" i="24" l="1"/>
  <c r="D50" i="24" s="1"/>
  <c r="D60" i="24" s="1"/>
  <c r="D62" i="24" s="1"/>
  <c r="L50" i="24"/>
  <c r="L60" i="24" s="1"/>
  <c r="L62" i="24" s="1"/>
  <c r="F39" i="24"/>
  <c r="F50" i="24" s="1"/>
  <c r="F60" i="24" s="1"/>
  <c r="F62" i="24" s="1"/>
  <c r="H39" i="24"/>
  <c r="C50" i="24"/>
  <c r="C60" i="24" s="1"/>
  <c r="C62" i="24" s="1"/>
  <c r="M50" i="24"/>
  <c r="M60" i="24" s="1"/>
  <c r="M62" i="24" s="1"/>
  <c r="H50" i="24"/>
  <c r="H60" i="24" s="1"/>
  <c r="H62" i="24" s="1"/>
  <c r="I39" i="24"/>
  <c r="I50" i="24" s="1"/>
  <c r="I60" i="24" s="1"/>
  <c r="I62" i="24" s="1"/>
  <c r="G39" i="24"/>
  <c r="G50" i="24" s="1"/>
  <c r="G60" i="24" s="1"/>
  <c r="G62" i="24" s="1"/>
  <c r="K50" i="24"/>
  <c r="K60" i="24" s="1"/>
  <c r="K62" i="24" s="1"/>
  <c r="E39" i="24"/>
  <c r="E50" i="24" s="1"/>
  <c r="E60" i="24" s="1"/>
  <c r="E62" i="24" s="1"/>
  <c r="J39" i="24"/>
  <c r="J50" i="24" s="1"/>
  <c r="J60" i="24" s="1"/>
  <c r="J62" i="24" s="1"/>
  <c r="N39" i="24"/>
  <c r="N58" i="24"/>
  <c r="N50" i="24"/>
  <c r="N60" i="24" s="1"/>
  <c r="N62" i="24" s="1"/>
  <c r="B39" i="24"/>
  <c r="B50" i="24" s="1"/>
  <c r="B60" i="24" s="1"/>
  <c r="B62" i="24" s="1"/>
  <c r="B64" i="24" s="1"/>
  <c r="C64" i="24" l="1"/>
  <c r="D64" i="24" s="1"/>
  <c r="E64" i="24" s="1"/>
  <c r="F64" i="24" s="1"/>
  <c r="G64" i="24" s="1"/>
  <c r="H64" i="24" s="1"/>
  <c r="I64" i="24" s="1"/>
  <c r="J64" i="24" s="1"/>
  <c r="K64" i="24" s="1"/>
  <c r="L64" i="24" s="1"/>
  <c r="M64" i="24" s="1"/>
  <c r="C15" i="5"/>
  <c r="D15" i="5"/>
  <c r="E15" i="5"/>
  <c r="F15" i="5"/>
  <c r="G15" i="5"/>
  <c r="C51" i="9" l="1"/>
  <c r="D47" i="9"/>
  <c r="D23" i="9"/>
  <c r="D27" i="9"/>
  <c r="B28" i="9"/>
  <c r="C28" i="9"/>
  <c r="D28" i="9"/>
  <c r="B37" i="9"/>
  <c r="B39" i="9"/>
  <c r="C39" i="9"/>
  <c r="D39" i="9"/>
  <c r="B41" i="9"/>
  <c r="C41" i="9"/>
  <c r="B44" i="9"/>
  <c r="C44" i="9"/>
  <c r="D44" i="9"/>
  <c r="B45" i="9"/>
  <c r="C45" i="9"/>
  <c r="D45" i="9"/>
  <c r="M26" i="8" l="1"/>
  <c r="L26" i="8"/>
  <c r="K26" i="8"/>
  <c r="J26" i="8"/>
  <c r="M27" i="14"/>
  <c r="K10" i="8"/>
  <c r="L10" i="8"/>
  <c r="M10" i="8"/>
  <c r="K11" i="8"/>
  <c r="L11" i="8"/>
  <c r="M11" i="8"/>
  <c r="M35" i="9"/>
  <c r="L35" i="9"/>
  <c r="K35" i="9"/>
  <c r="J35" i="9"/>
  <c r="I35" i="9"/>
  <c r="H35" i="9"/>
  <c r="G35" i="9"/>
  <c r="M34" i="9"/>
  <c r="L34" i="9"/>
  <c r="K34" i="9"/>
  <c r="J34" i="9"/>
  <c r="I34" i="9"/>
  <c r="H34" i="9"/>
  <c r="G34" i="9"/>
  <c r="B4" i="24"/>
  <c r="C4" i="24"/>
  <c r="D4" i="24"/>
  <c r="E4" i="24"/>
  <c r="F4" i="24"/>
  <c r="G4" i="24"/>
  <c r="H4" i="24"/>
  <c r="I4" i="24"/>
  <c r="J4" i="24"/>
  <c r="K4" i="24"/>
  <c r="L4" i="24"/>
  <c r="M4" i="24"/>
  <c r="AB56" i="8" l="1"/>
  <c r="AB10" i="8"/>
  <c r="AP52" i="30"/>
  <c r="AO52" i="30"/>
  <c r="AI52" i="30"/>
  <c r="AH52" i="30"/>
  <c r="AJ52" i="30" s="1"/>
  <c r="AD52" i="30"/>
  <c r="X52" i="30"/>
  <c r="Q52" i="30"/>
  <c r="R52" i="30" s="1"/>
  <c r="P52" i="30"/>
  <c r="AO50" i="30"/>
  <c r="AP50" i="30" s="1"/>
  <c r="X50" i="30"/>
  <c r="W50" i="30"/>
  <c r="AI47" i="30"/>
  <c r="AD47" i="30"/>
  <c r="V47" i="30"/>
  <c r="W47" i="30" s="1"/>
  <c r="Q47" i="30"/>
  <c r="R47" i="30" s="1"/>
  <c r="P47" i="30"/>
  <c r="AO46" i="30"/>
  <c r="AP46" i="30" s="1"/>
  <c r="AI46" i="30"/>
  <c r="AH46" i="30"/>
  <c r="AJ46" i="30" s="1"/>
  <c r="AD46" i="30"/>
  <c r="X46" i="30"/>
  <c r="R46" i="30"/>
  <c r="Q46" i="30"/>
  <c r="AO45" i="30"/>
  <c r="AP45" i="30" s="1"/>
  <c r="AI45" i="30"/>
  <c r="AH45" i="30"/>
  <c r="AJ45" i="30" s="1"/>
  <c r="AD45" i="30"/>
  <c r="AB45" i="30"/>
  <c r="X45" i="30"/>
  <c r="Q45" i="30"/>
  <c r="R45" i="30" s="1"/>
  <c r="AO44" i="30"/>
  <c r="AP44" i="30" s="1"/>
  <c r="AI44" i="30"/>
  <c r="AB44" i="30"/>
  <c r="AH44" i="30" s="1"/>
  <c r="AJ44" i="30" s="1"/>
  <c r="X44" i="30"/>
  <c r="Q44" i="30"/>
  <c r="R44" i="30" s="1"/>
  <c r="AO43" i="30"/>
  <c r="AP43" i="30" s="1"/>
  <c r="AI43" i="30"/>
  <c r="AH43" i="30"/>
  <c r="AJ43" i="30" s="1"/>
  <c r="AD43" i="30"/>
  <c r="X43" i="30"/>
  <c r="Q43" i="30"/>
  <c r="R43" i="30" s="1"/>
  <c r="AC42" i="30"/>
  <c r="AC48" i="30" s="1"/>
  <c r="AC53" i="30" s="1"/>
  <c r="AB42" i="30"/>
  <c r="AB48" i="30" s="1"/>
  <c r="AB53" i="30" s="1"/>
  <c r="P42" i="30"/>
  <c r="P48" i="30" s="1"/>
  <c r="P53" i="30" s="1"/>
  <c r="L42" i="30"/>
  <c r="L48" i="30" s="1"/>
  <c r="L53" i="30" s="1"/>
  <c r="K42" i="30"/>
  <c r="K48" i="30" s="1"/>
  <c r="K53" i="30" s="1"/>
  <c r="J42" i="30"/>
  <c r="J48" i="30" s="1"/>
  <c r="J53" i="30" s="1"/>
  <c r="AI41" i="30"/>
  <c r="AD41" i="30"/>
  <c r="W41" i="30"/>
  <c r="AO41" i="30" s="1"/>
  <c r="AP41" i="30" s="1"/>
  <c r="R41" i="30"/>
  <c r="Q41" i="30"/>
  <c r="X40" i="30"/>
  <c r="W40" i="30"/>
  <c r="AO40" i="30" s="1"/>
  <c r="AP40" i="30" s="1"/>
  <c r="AI39" i="30"/>
  <c r="AD39" i="30"/>
  <c r="V39" i="30"/>
  <c r="W39" i="30" s="1"/>
  <c r="Q39" i="30"/>
  <c r="R39" i="30" s="1"/>
  <c r="AI38" i="30"/>
  <c r="AD38" i="30"/>
  <c r="W38" i="30"/>
  <c r="AO38" i="30" s="1"/>
  <c r="AP38" i="30" s="1"/>
  <c r="V38" i="30"/>
  <c r="Q38" i="30"/>
  <c r="R38" i="30" s="1"/>
  <c r="AI37" i="30"/>
  <c r="AI42" i="30" s="1"/>
  <c r="AI48" i="30" s="1"/>
  <c r="AI53" i="30" s="1"/>
  <c r="AH37" i="30"/>
  <c r="AB37" i="30"/>
  <c r="AD37" i="30" s="1"/>
  <c r="AD42" i="30" s="1"/>
  <c r="W37" i="30"/>
  <c r="W42" i="30" s="1"/>
  <c r="V37" i="30"/>
  <c r="Q37" i="30"/>
  <c r="Q42" i="30" s="1"/>
  <c r="Q48" i="30" s="1"/>
  <c r="Q53" i="30" s="1"/>
  <c r="AH47" i="30" l="1"/>
  <c r="AJ47" i="30" s="1"/>
  <c r="X47" i="30"/>
  <c r="AO47" i="30"/>
  <c r="AP47" i="30" s="1"/>
  <c r="W48" i="30"/>
  <c r="W53" i="30" s="1"/>
  <c r="AH39" i="30"/>
  <c r="AJ39" i="30" s="1"/>
  <c r="X39" i="30"/>
  <c r="AO39" i="30"/>
  <c r="AP39" i="30" s="1"/>
  <c r="X41" i="30"/>
  <c r="AO37" i="30"/>
  <c r="AH38" i="30"/>
  <c r="AJ38" i="30" s="1"/>
  <c r="X38" i="30"/>
  <c r="R37" i="30"/>
  <c r="R42" i="30" s="1"/>
  <c r="R48" i="30" s="1"/>
  <c r="R53" i="30" s="1"/>
  <c r="AH41" i="30"/>
  <c r="AJ41" i="30" s="1"/>
  <c r="X37" i="30"/>
  <c r="X42" i="30" s="1"/>
  <c r="X48" i="30" s="1"/>
  <c r="X53" i="30" s="1"/>
  <c r="AJ37" i="30"/>
  <c r="AJ42" i="30" s="1"/>
  <c r="AJ48" i="30" s="1"/>
  <c r="AJ53" i="30" s="1"/>
  <c r="AD44" i="30"/>
  <c r="AD48" i="30" s="1"/>
  <c r="AD53" i="30" s="1"/>
  <c r="M49" i="5"/>
  <c r="N21" i="5"/>
  <c r="M21" i="5"/>
  <c r="L21" i="5"/>
  <c r="K21" i="5"/>
  <c r="AH42" i="30" l="1"/>
  <c r="AH48" i="30" s="1"/>
  <c r="AH53" i="30" s="1"/>
  <c r="AO42" i="30"/>
  <c r="AO48" i="30" s="1"/>
  <c r="AO53" i="30" s="1"/>
  <c r="AP37" i="30"/>
  <c r="AP42" i="30" s="1"/>
  <c r="AP48" i="30" s="1"/>
  <c r="AP53" i="30" s="1"/>
  <c r="C39" i="5" l="1"/>
  <c r="D39" i="5"/>
  <c r="E39" i="5"/>
  <c r="F39" i="5"/>
  <c r="G39" i="5"/>
  <c r="H39" i="5"/>
  <c r="I39" i="5"/>
  <c r="J39" i="5"/>
  <c r="K39" i="5"/>
  <c r="L39" i="5"/>
  <c r="M39" i="5"/>
  <c r="N39" i="5"/>
  <c r="M33" i="9" l="1"/>
  <c r="N33" i="6"/>
  <c r="M33" i="6"/>
  <c r="L33" i="6"/>
  <c r="F27" i="14" l="1"/>
  <c r="E27" i="14"/>
  <c r="D27" i="14"/>
  <c r="C27" i="14"/>
  <c r="G27" i="14"/>
  <c r="B57" i="8"/>
  <c r="AN25" i="30" l="1"/>
  <c r="B54" i="9" l="1"/>
  <c r="C54" i="9"/>
  <c r="D54" i="9"/>
  <c r="E54" i="9"/>
  <c r="F54" i="9"/>
  <c r="G54" i="9"/>
  <c r="H54" i="9"/>
  <c r="I54" i="9"/>
  <c r="J54" i="9"/>
  <c r="K54" i="9"/>
  <c r="L54" i="9"/>
  <c r="M54" i="9"/>
  <c r="B55" i="9"/>
  <c r="C55" i="9"/>
  <c r="D55" i="9"/>
  <c r="E55" i="9"/>
  <c r="F55" i="9"/>
  <c r="G55" i="9"/>
  <c r="H55" i="9"/>
  <c r="I55" i="9"/>
  <c r="J55" i="9"/>
  <c r="K55" i="9"/>
  <c r="L55" i="9"/>
  <c r="M55" i="9"/>
  <c r="B56" i="9"/>
  <c r="C56" i="9"/>
  <c r="D56" i="9"/>
  <c r="E56" i="9"/>
  <c r="F56" i="9"/>
  <c r="G56" i="9"/>
  <c r="H56" i="9"/>
  <c r="I56" i="9"/>
  <c r="J56" i="9"/>
  <c r="K56" i="9"/>
  <c r="L56" i="9"/>
  <c r="M56" i="9"/>
  <c r="B57" i="9"/>
  <c r="C57" i="9"/>
  <c r="D57" i="9"/>
  <c r="E57" i="9"/>
  <c r="F57" i="9"/>
  <c r="G57" i="9"/>
  <c r="H57" i="9"/>
  <c r="I57" i="9"/>
  <c r="J57" i="9"/>
  <c r="K57" i="9"/>
  <c r="L57" i="9"/>
  <c r="M57" i="9"/>
  <c r="B58" i="9"/>
  <c r="C58" i="9"/>
  <c r="D58" i="9"/>
  <c r="E58" i="9"/>
  <c r="F58" i="9"/>
  <c r="G58" i="9"/>
  <c r="H58" i="9"/>
  <c r="I58" i="9"/>
  <c r="J58" i="9"/>
  <c r="K58" i="9"/>
  <c r="L58" i="9"/>
  <c r="M58" i="9"/>
  <c r="N56" i="9" l="1"/>
  <c r="G53" i="9"/>
  <c r="C53" i="9"/>
  <c r="N57" i="9"/>
  <c r="B53" i="9"/>
  <c r="N54" i="9"/>
  <c r="M53" i="9"/>
  <c r="L53" i="9"/>
  <c r="K53" i="9"/>
  <c r="J53" i="9"/>
  <c r="I53" i="9"/>
  <c r="H53" i="9"/>
  <c r="N58" i="9"/>
  <c r="F53" i="9"/>
  <c r="N55" i="9"/>
  <c r="D53" i="9"/>
  <c r="E53" i="9"/>
  <c r="N53" i="9" l="1"/>
  <c r="B51" i="9" l="1"/>
  <c r="B50" i="9"/>
  <c r="B49" i="9"/>
  <c r="B47" i="9"/>
  <c r="B40" i="9"/>
  <c r="C43" i="6"/>
  <c r="C54" i="6"/>
  <c r="C48" i="6"/>
  <c r="C38" i="6"/>
  <c r="C44" i="5"/>
  <c r="C49" i="5"/>
  <c r="C54" i="5"/>
  <c r="B10" i="8"/>
  <c r="B11" i="8"/>
  <c r="B19" i="8"/>
  <c r="B13" i="8"/>
  <c r="B48" i="9" l="1"/>
  <c r="B43" i="9"/>
  <c r="B38" i="9"/>
  <c r="F34" i="30" l="1"/>
  <c r="E34" i="30"/>
  <c r="D34" i="30"/>
  <c r="C34" i="30"/>
  <c r="B34" i="30"/>
  <c r="D4" i="25" l="1"/>
  <c r="C4" i="23"/>
  <c r="D4" i="23"/>
  <c r="E4" i="23"/>
  <c r="F4" i="23"/>
  <c r="G4" i="23"/>
  <c r="H4" i="23"/>
  <c r="I4" i="23"/>
  <c r="J4" i="23"/>
  <c r="K4" i="23"/>
  <c r="L4" i="23"/>
  <c r="M4" i="23"/>
  <c r="N4" i="23"/>
  <c r="O32" i="5"/>
  <c r="N31" i="9"/>
  <c r="B22" i="9"/>
  <c r="B22" i="37" s="1"/>
  <c r="C22" i="9"/>
  <c r="D22" i="9"/>
  <c r="E22" i="9"/>
  <c r="E22" i="37" s="1"/>
  <c r="F22" i="9"/>
  <c r="F22" i="37" s="1"/>
  <c r="G22" i="9"/>
  <c r="G22" i="37" s="1"/>
  <c r="H22" i="9"/>
  <c r="I22" i="9"/>
  <c r="J22" i="9"/>
  <c r="J22" i="37" s="1"/>
  <c r="K22" i="9"/>
  <c r="L22" i="9"/>
  <c r="M22" i="9"/>
  <c r="B23" i="9"/>
  <c r="B23" i="37" s="1"/>
  <c r="C23" i="9"/>
  <c r="C23" i="37" s="1"/>
  <c r="D23" i="37"/>
  <c r="E23" i="9"/>
  <c r="E23" i="37" s="1"/>
  <c r="F23" i="9"/>
  <c r="F23" i="37" s="1"/>
  <c r="G23" i="9"/>
  <c r="G23" i="37" s="1"/>
  <c r="H23" i="9"/>
  <c r="H23" i="37" s="1"/>
  <c r="I23" i="9"/>
  <c r="I23" i="37" s="1"/>
  <c r="J23" i="9"/>
  <c r="J23" i="37" s="1"/>
  <c r="K23" i="9"/>
  <c r="L23" i="9"/>
  <c r="M23" i="9"/>
  <c r="B24" i="9"/>
  <c r="B24" i="37" s="1"/>
  <c r="C24" i="9"/>
  <c r="C24" i="37" s="1"/>
  <c r="D24" i="9"/>
  <c r="D24" i="37" s="1"/>
  <c r="E24" i="9"/>
  <c r="E24" i="37" s="1"/>
  <c r="F24" i="9"/>
  <c r="F24" i="37" s="1"/>
  <c r="G24" i="9"/>
  <c r="G24" i="37" s="1"/>
  <c r="H24" i="9"/>
  <c r="H24" i="37" s="1"/>
  <c r="I24" i="9"/>
  <c r="I24" i="37" s="1"/>
  <c r="J24" i="9"/>
  <c r="J24" i="37" s="1"/>
  <c r="K24" i="9"/>
  <c r="L24" i="9"/>
  <c r="M24" i="9"/>
  <c r="B25" i="9"/>
  <c r="B25" i="37" s="1"/>
  <c r="C25" i="9"/>
  <c r="C25" i="37" s="1"/>
  <c r="D25" i="9"/>
  <c r="D25" i="37" s="1"/>
  <c r="E25" i="9"/>
  <c r="E25" i="37" s="1"/>
  <c r="F25" i="9"/>
  <c r="F25" i="37" s="1"/>
  <c r="G25" i="9"/>
  <c r="G25" i="37" s="1"/>
  <c r="H25" i="9"/>
  <c r="H25" i="37" s="1"/>
  <c r="I25" i="9"/>
  <c r="I25" i="37" s="1"/>
  <c r="J25" i="9"/>
  <c r="J25" i="37" s="1"/>
  <c r="K25" i="9"/>
  <c r="L25" i="9"/>
  <c r="M25" i="9"/>
  <c r="B26" i="9"/>
  <c r="B26" i="37" s="1"/>
  <c r="C26" i="9"/>
  <c r="C26" i="37" s="1"/>
  <c r="D26" i="9"/>
  <c r="D26" i="37" s="1"/>
  <c r="E26" i="9"/>
  <c r="E26" i="37" s="1"/>
  <c r="F26" i="9"/>
  <c r="F26" i="37" s="1"/>
  <c r="G26" i="9"/>
  <c r="G26" i="37" s="1"/>
  <c r="H26" i="9"/>
  <c r="H26" i="37" s="1"/>
  <c r="I26" i="9"/>
  <c r="I26" i="37" s="1"/>
  <c r="J26" i="9"/>
  <c r="J26" i="37" s="1"/>
  <c r="K26" i="9"/>
  <c r="L26" i="9"/>
  <c r="M26" i="9"/>
  <c r="B27" i="9"/>
  <c r="B27" i="37" s="1"/>
  <c r="C27" i="9"/>
  <c r="C27" i="37" s="1"/>
  <c r="D27" i="37"/>
  <c r="E27" i="9"/>
  <c r="E27" i="37" s="1"/>
  <c r="F27" i="9"/>
  <c r="F27" i="37" s="1"/>
  <c r="G27" i="9"/>
  <c r="G27" i="37" s="1"/>
  <c r="H27" i="9"/>
  <c r="H27" i="37" s="1"/>
  <c r="I27" i="9"/>
  <c r="I27" i="37" s="1"/>
  <c r="J27" i="9"/>
  <c r="J27" i="37" s="1"/>
  <c r="K27" i="9"/>
  <c r="L27" i="9"/>
  <c r="M27" i="9"/>
  <c r="B28" i="37"/>
  <c r="C28" i="37"/>
  <c r="D28" i="37"/>
  <c r="E28" i="9"/>
  <c r="E28" i="37" s="1"/>
  <c r="F28" i="9"/>
  <c r="G28" i="9"/>
  <c r="G28" i="37" s="1"/>
  <c r="H28" i="9"/>
  <c r="H28" i="37" s="1"/>
  <c r="I28" i="9"/>
  <c r="I28" i="37" s="1"/>
  <c r="J28" i="9"/>
  <c r="J28" i="37" s="1"/>
  <c r="K28" i="9"/>
  <c r="L28" i="9"/>
  <c r="M28" i="9"/>
  <c r="B29" i="9"/>
  <c r="C29" i="9"/>
  <c r="C29" i="37" s="1"/>
  <c r="D29" i="9"/>
  <c r="D29" i="37" s="1"/>
  <c r="E29" i="9"/>
  <c r="E29" i="37" s="1"/>
  <c r="F29" i="9"/>
  <c r="F29" i="37" s="1"/>
  <c r="G29" i="9"/>
  <c r="G29" i="37" s="1"/>
  <c r="H29" i="9"/>
  <c r="H29" i="37" s="1"/>
  <c r="I29" i="9"/>
  <c r="I29" i="37" s="1"/>
  <c r="J29" i="9"/>
  <c r="J29" i="37" s="1"/>
  <c r="K29" i="9"/>
  <c r="L29" i="9"/>
  <c r="M29" i="9"/>
  <c r="B30" i="9"/>
  <c r="B30" i="37" s="1"/>
  <c r="C30" i="9"/>
  <c r="C30" i="37" s="1"/>
  <c r="D30" i="9"/>
  <c r="D30" i="37" s="1"/>
  <c r="E30" i="9"/>
  <c r="E30" i="37" s="1"/>
  <c r="F30" i="9"/>
  <c r="F30" i="37" s="1"/>
  <c r="G30" i="9"/>
  <c r="G30" i="37" s="1"/>
  <c r="H30" i="9"/>
  <c r="H30" i="37" s="1"/>
  <c r="I30" i="9"/>
  <c r="I30" i="37" s="1"/>
  <c r="J30" i="9"/>
  <c r="J30" i="37" s="1"/>
  <c r="K30" i="9"/>
  <c r="L30" i="9"/>
  <c r="M30" i="9"/>
  <c r="D31" i="37"/>
  <c r="E31" i="37"/>
  <c r="G31" i="37"/>
  <c r="H31" i="37"/>
  <c r="I31" i="37"/>
  <c r="C4" i="25"/>
  <c r="G4" i="25"/>
  <c r="K4" i="25"/>
  <c r="R9" i="25"/>
  <c r="X9" i="25" s="1"/>
  <c r="D33" i="6"/>
  <c r="F33" i="6"/>
  <c r="G33" i="6"/>
  <c r="H33" i="6"/>
  <c r="I33" i="6"/>
  <c r="J33" i="6"/>
  <c r="K33" i="6"/>
  <c r="O13" i="14"/>
  <c r="O36" i="5"/>
  <c r="O35" i="5"/>
  <c r="C34" i="5"/>
  <c r="D34" i="5"/>
  <c r="E34" i="5"/>
  <c r="F34" i="5"/>
  <c r="G34" i="5"/>
  <c r="H34" i="5"/>
  <c r="I34" i="5"/>
  <c r="J34" i="5"/>
  <c r="K34" i="5"/>
  <c r="L34" i="5"/>
  <c r="M34" i="5"/>
  <c r="N34" i="5"/>
  <c r="B35" i="9"/>
  <c r="B35" i="37" s="1"/>
  <c r="C35" i="9"/>
  <c r="C35" i="37" s="1"/>
  <c r="D35" i="9"/>
  <c r="D35" i="37" s="1"/>
  <c r="D34" i="9"/>
  <c r="E35" i="9"/>
  <c r="E35" i="37" s="1"/>
  <c r="F35" i="9"/>
  <c r="F35" i="37" s="1"/>
  <c r="G35" i="37"/>
  <c r="I35" i="37"/>
  <c r="E34" i="9"/>
  <c r="E34" i="37" s="1"/>
  <c r="B34" i="9"/>
  <c r="B34" i="37" s="1"/>
  <c r="C34" i="9"/>
  <c r="F34" i="9"/>
  <c r="F34" i="37" s="1"/>
  <c r="H34" i="37"/>
  <c r="I34" i="37"/>
  <c r="J34" i="37"/>
  <c r="A3" i="8"/>
  <c r="A3" i="29" s="1"/>
  <c r="N23" i="14"/>
  <c r="N16" i="14"/>
  <c r="M23" i="14"/>
  <c r="M16" i="14"/>
  <c r="L23" i="14"/>
  <c r="L16" i="14"/>
  <c r="K23" i="14"/>
  <c r="K16" i="14"/>
  <c r="J23" i="14"/>
  <c r="J16" i="14"/>
  <c r="I23" i="14"/>
  <c r="I16" i="14"/>
  <c r="O47" i="28"/>
  <c r="O48" i="28"/>
  <c r="O43" i="28"/>
  <c r="O44" i="28"/>
  <c r="O35" i="28"/>
  <c r="O38" i="28" s="1"/>
  <c r="O36" i="28"/>
  <c r="O37" i="28"/>
  <c r="O31" i="28"/>
  <c r="O32" i="28" s="1"/>
  <c r="O26" i="28"/>
  <c r="O28" i="28"/>
  <c r="O10" i="28"/>
  <c r="O11" i="28"/>
  <c r="O12" i="28"/>
  <c r="O13" i="28"/>
  <c r="O14" i="28"/>
  <c r="O15" i="28"/>
  <c r="O19" i="28"/>
  <c r="O20" i="28"/>
  <c r="O21" i="28"/>
  <c r="O22" i="28"/>
  <c r="O54" i="28"/>
  <c r="O55" i="28"/>
  <c r="O56" i="28"/>
  <c r="O57" i="28"/>
  <c r="O60" i="28" s="1"/>
  <c r="O58" i="28"/>
  <c r="O59" i="28"/>
  <c r="C75" i="29"/>
  <c r="C60" i="29"/>
  <c r="C55" i="29"/>
  <c r="D75" i="29"/>
  <c r="D60" i="29" s="1"/>
  <c r="D55" i="29" s="1"/>
  <c r="E75" i="29"/>
  <c r="E60" i="29"/>
  <c r="E55" i="29" s="1"/>
  <c r="F75" i="29"/>
  <c r="F60" i="29" s="1"/>
  <c r="F55" i="29" s="1"/>
  <c r="G75" i="29"/>
  <c r="G60" i="29"/>
  <c r="G55" i="29" s="1"/>
  <c r="H75" i="29"/>
  <c r="H60" i="29" s="1"/>
  <c r="H55" i="29"/>
  <c r="I75" i="29"/>
  <c r="I60" i="29" s="1"/>
  <c r="I55" i="29" s="1"/>
  <c r="J75" i="29"/>
  <c r="J60" i="29"/>
  <c r="J55" i="29"/>
  <c r="K75" i="29"/>
  <c r="K60" i="29"/>
  <c r="K55" i="29"/>
  <c r="L75" i="29"/>
  <c r="L60" i="29" s="1"/>
  <c r="L55" i="29" s="1"/>
  <c r="M75" i="29"/>
  <c r="M60" i="29"/>
  <c r="M55" i="29" s="1"/>
  <c r="N75" i="29"/>
  <c r="N60" i="29" s="1"/>
  <c r="N55" i="29" s="1"/>
  <c r="C48" i="29"/>
  <c r="D48" i="29"/>
  <c r="E48" i="29"/>
  <c r="F48" i="29"/>
  <c r="G48" i="29"/>
  <c r="H48" i="29"/>
  <c r="I48" i="29"/>
  <c r="J48" i="29"/>
  <c r="K48" i="29"/>
  <c r="L48" i="29"/>
  <c r="M48" i="29"/>
  <c r="N48" i="29"/>
  <c r="O47" i="29"/>
  <c r="C43" i="29"/>
  <c r="D43" i="29"/>
  <c r="E43" i="29"/>
  <c r="F43" i="29"/>
  <c r="G43" i="29"/>
  <c r="H43" i="29"/>
  <c r="I43" i="29"/>
  <c r="J43" i="29"/>
  <c r="K43" i="29"/>
  <c r="L43" i="29"/>
  <c r="M43" i="29"/>
  <c r="N43" i="29"/>
  <c r="C38" i="29"/>
  <c r="D38" i="29"/>
  <c r="E38" i="29"/>
  <c r="F38" i="29"/>
  <c r="G38" i="29"/>
  <c r="H38" i="29"/>
  <c r="I38" i="29"/>
  <c r="J38" i="29"/>
  <c r="K38" i="29"/>
  <c r="L38" i="29"/>
  <c r="M38" i="29"/>
  <c r="N38" i="29"/>
  <c r="O37" i="29"/>
  <c r="C33" i="29"/>
  <c r="D33" i="29"/>
  <c r="E33" i="29"/>
  <c r="F33" i="29"/>
  <c r="G33" i="29"/>
  <c r="H33" i="29"/>
  <c r="I33" i="29"/>
  <c r="J33" i="29"/>
  <c r="K33" i="29"/>
  <c r="L33" i="29"/>
  <c r="M33" i="29"/>
  <c r="N33" i="29"/>
  <c r="O22" i="29"/>
  <c r="O23" i="29"/>
  <c r="O24" i="29"/>
  <c r="O25" i="29"/>
  <c r="O26" i="29"/>
  <c r="O27" i="29"/>
  <c r="O28" i="29"/>
  <c r="O29" i="29"/>
  <c r="O30" i="29"/>
  <c r="O31" i="29"/>
  <c r="O19" i="29"/>
  <c r="C15" i="29"/>
  <c r="D15" i="29"/>
  <c r="E15" i="29"/>
  <c r="F15" i="29"/>
  <c r="G15" i="29"/>
  <c r="H15" i="29"/>
  <c r="I15" i="29"/>
  <c r="J15" i="29"/>
  <c r="K15" i="29"/>
  <c r="L15" i="29"/>
  <c r="M15" i="29"/>
  <c r="N15" i="29"/>
  <c r="O15" i="29"/>
  <c r="O14" i="29"/>
  <c r="O13" i="29"/>
  <c r="O8" i="29"/>
  <c r="O10" i="29" s="1"/>
  <c r="O9" i="29"/>
  <c r="O47" i="1"/>
  <c r="O49" i="1" s="1"/>
  <c r="O48" i="1"/>
  <c r="O43" i="1"/>
  <c r="O44" i="1"/>
  <c r="O35" i="1"/>
  <c r="O36" i="1"/>
  <c r="O37" i="1"/>
  <c r="O38" i="1"/>
  <c r="O31" i="1"/>
  <c r="O32" i="1"/>
  <c r="O26" i="1"/>
  <c r="O28" i="1"/>
  <c r="O10" i="1"/>
  <c r="O11" i="1"/>
  <c r="O12" i="1"/>
  <c r="O13" i="1"/>
  <c r="O16" i="1" s="1"/>
  <c r="O14" i="1"/>
  <c r="O15" i="1"/>
  <c r="O19" i="1"/>
  <c r="O20" i="1"/>
  <c r="O21" i="1"/>
  <c r="O22" i="1"/>
  <c r="O23" i="1"/>
  <c r="O54" i="1"/>
  <c r="O55" i="1"/>
  <c r="O56" i="1"/>
  <c r="O57" i="1"/>
  <c r="O60" i="1" s="1"/>
  <c r="O59" i="1"/>
  <c r="C75" i="11"/>
  <c r="C60" i="11"/>
  <c r="C55" i="11" s="1"/>
  <c r="D75" i="11"/>
  <c r="D60" i="11"/>
  <c r="D55" i="11"/>
  <c r="E75" i="11"/>
  <c r="E60" i="11" s="1"/>
  <c r="E55" i="11" s="1"/>
  <c r="F75" i="11"/>
  <c r="F60" i="11"/>
  <c r="F55" i="11" s="1"/>
  <c r="G75" i="11"/>
  <c r="G60" i="11" s="1"/>
  <c r="G55" i="11" s="1"/>
  <c r="H75" i="11"/>
  <c r="H60" i="11"/>
  <c r="H55" i="11" s="1"/>
  <c r="I75" i="11"/>
  <c r="I60" i="11" s="1"/>
  <c r="I55" i="11"/>
  <c r="J75" i="11"/>
  <c r="J60" i="11" s="1"/>
  <c r="J55" i="11" s="1"/>
  <c r="K75" i="11"/>
  <c r="K60" i="11"/>
  <c r="K55" i="11" s="1"/>
  <c r="L75" i="11"/>
  <c r="L60" i="11"/>
  <c r="L55" i="11"/>
  <c r="M75" i="11"/>
  <c r="M60" i="11" s="1"/>
  <c r="M55" i="11" s="1"/>
  <c r="N75" i="11"/>
  <c r="N60" i="11"/>
  <c r="N55" i="11" s="1"/>
  <c r="C48" i="11"/>
  <c r="D48" i="11"/>
  <c r="O48" i="11" s="1"/>
  <c r="E48" i="11"/>
  <c r="F48" i="11"/>
  <c r="G48" i="11"/>
  <c r="H48" i="11"/>
  <c r="I48" i="11"/>
  <c r="J48" i="11"/>
  <c r="K48" i="11"/>
  <c r="L48" i="11"/>
  <c r="M48" i="11"/>
  <c r="N48" i="11"/>
  <c r="O47" i="11"/>
  <c r="C43" i="11"/>
  <c r="D43" i="11"/>
  <c r="E43" i="11"/>
  <c r="F43" i="11"/>
  <c r="G43" i="11"/>
  <c r="H43" i="11"/>
  <c r="I43" i="11"/>
  <c r="J43" i="11"/>
  <c r="K43" i="11"/>
  <c r="L43" i="11"/>
  <c r="M43" i="11"/>
  <c r="N43" i="11"/>
  <c r="C38" i="11"/>
  <c r="D38" i="11"/>
  <c r="E38" i="11"/>
  <c r="F38" i="11"/>
  <c r="G38" i="11"/>
  <c r="H38" i="11"/>
  <c r="I38" i="11"/>
  <c r="J38" i="11"/>
  <c r="K38" i="11"/>
  <c r="L38" i="11"/>
  <c r="M38" i="11"/>
  <c r="N38" i="11"/>
  <c r="O38" i="11"/>
  <c r="O37" i="11"/>
  <c r="C33" i="11"/>
  <c r="D33" i="11"/>
  <c r="E33" i="11"/>
  <c r="F33" i="11"/>
  <c r="G33" i="11"/>
  <c r="H33" i="11"/>
  <c r="I33" i="11"/>
  <c r="J33" i="11"/>
  <c r="K33" i="11"/>
  <c r="L33" i="11"/>
  <c r="M33" i="11"/>
  <c r="N33" i="11"/>
  <c r="O22" i="11"/>
  <c r="O23" i="11"/>
  <c r="O24" i="11"/>
  <c r="O25" i="11"/>
  <c r="O26" i="11"/>
  <c r="O27" i="11"/>
  <c r="O28" i="11"/>
  <c r="O29" i="11"/>
  <c r="O30" i="11"/>
  <c r="O31" i="11"/>
  <c r="O19" i="11"/>
  <c r="C15" i="11"/>
  <c r="D15" i="11"/>
  <c r="E15" i="11"/>
  <c r="F15" i="11"/>
  <c r="G15" i="11"/>
  <c r="H15" i="11"/>
  <c r="I15" i="11"/>
  <c r="J15" i="11"/>
  <c r="K15" i="11"/>
  <c r="L15" i="11"/>
  <c r="M15" i="11"/>
  <c r="N15" i="11"/>
  <c r="O14" i="11"/>
  <c r="O13" i="11"/>
  <c r="O8" i="11"/>
  <c r="O9" i="11"/>
  <c r="O10" i="11"/>
  <c r="O47" i="26"/>
  <c r="O48" i="26"/>
  <c r="O43" i="26"/>
  <c r="O44" i="26" s="1"/>
  <c r="O35" i="26"/>
  <c r="O38" i="26" s="1"/>
  <c r="O36" i="26"/>
  <c r="O37" i="26"/>
  <c r="O31" i="26"/>
  <c r="O32" i="26" s="1"/>
  <c r="O26" i="26"/>
  <c r="O28" i="26" s="1"/>
  <c r="O10" i="26"/>
  <c r="O11" i="26"/>
  <c r="O12" i="26"/>
  <c r="O13" i="26"/>
  <c r="O14" i="26"/>
  <c r="O15" i="26"/>
  <c r="O16" i="26"/>
  <c r="O19" i="26"/>
  <c r="O20" i="26"/>
  <c r="O21" i="26"/>
  <c r="O22" i="26"/>
  <c r="O23" i="26" s="1"/>
  <c r="O54" i="26"/>
  <c r="O60" i="26" s="1"/>
  <c r="O55" i="26"/>
  <c r="O56" i="26"/>
  <c r="O57" i="26"/>
  <c r="O58" i="26"/>
  <c r="O59" i="26"/>
  <c r="C75" i="18"/>
  <c r="C60" i="18"/>
  <c r="C55" i="18"/>
  <c r="D75" i="18"/>
  <c r="D60" i="18"/>
  <c r="D55" i="18"/>
  <c r="E75" i="18"/>
  <c r="E60" i="18" s="1"/>
  <c r="E55" i="18" s="1"/>
  <c r="F75" i="18"/>
  <c r="F60" i="18"/>
  <c r="F55" i="18" s="1"/>
  <c r="G75" i="18"/>
  <c r="G60" i="18" s="1"/>
  <c r="G55" i="18" s="1"/>
  <c r="H75" i="18"/>
  <c r="H60" i="18"/>
  <c r="H55" i="18" s="1"/>
  <c r="I75" i="18"/>
  <c r="I60" i="18" s="1"/>
  <c r="I55" i="18"/>
  <c r="J75" i="18"/>
  <c r="J60" i="18" s="1"/>
  <c r="J55" i="18" s="1"/>
  <c r="K75" i="18"/>
  <c r="K60" i="18"/>
  <c r="K55" i="18"/>
  <c r="L75" i="18"/>
  <c r="L60" i="18"/>
  <c r="L55" i="18"/>
  <c r="M75" i="18"/>
  <c r="M60" i="18" s="1"/>
  <c r="M55" i="18" s="1"/>
  <c r="N75" i="18"/>
  <c r="N60" i="18"/>
  <c r="N55" i="18" s="1"/>
  <c r="C48" i="18"/>
  <c r="D48" i="18"/>
  <c r="E48" i="18"/>
  <c r="F48" i="18"/>
  <c r="G48" i="18"/>
  <c r="H48" i="18"/>
  <c r="I48" i="18"/>
  <c r="J48" i="18"/>
  <c r="K48" i="18"/>
  <c r="L48" i="18"/>
  <c r="M48" i="18"/>
  <c r="N48" i="18"/>
  <c r="O47" i="18"/>
  <c r="C43" i="18"/>
  <c r="D43" i="18"/>
  <c r="E43" i="18"/>
  <c r="F43" i="18"/>
  <c r="G43" i="18"/>
  <c r="H43" i="18"/>
  <c r="I43" i="18"/>
  <c r="J43" i="18"/>
  <c r="K43" i="18"/>
  <c r="L43" i="18"/>
  <c r="M43" i="18"/>
  <c r="N43" i="18"/>
  <c r="C38" i="18"/>
  <c r="D38" i="18"/>
  <c r="E38" i="18"/>
  <c r="F38" i="18"/>
  <c r="G38" i="18"/>
  <c r="H38" i="18"/>
  <c r="I38" i="18"/>
  <c r="J38" i="18"/>
  <c r="K38" i="18"/>
  <c r="L38" i="18"/>
  <c r="M38" i="18"/>
  <c r="N38" i="18"/>
  <c r="O37" i="18"/>
  <c r="C33" i="18"/>
  <c r="D33" i="18"/>
  <c r="E33" i="18"/>
  <c r="O33" i="18" s="1"/>
  <c r="F33" i="18"/>
  <c r="G33" i="18"/>
  <c r="H33" i="18"/>
  <c r="I33" i="18"/>
  <c r="J33" i="18"/>
  <c r="K33" i="18"/>
  <c r="L33" i="18"/>
  <c r="M33" i="18"/>
  <c r="N33" i="18"/>
  <c r="O22" i="18"/>
  <c r="O23" i="18"/>
  <c r="O24" i="18"/>
  <c r="O25" i="18"/>
  <c r="O26" i="18"/>
  <c r="O27" i="18"/>
  <c r="O28" i="18"/>
  <c r="O29" i="18"/>
  <c r="O30" i="18"/>
  <c r="O31" i="18"/>
  <c r="O21" i="18"/>
  <c r="O19" i="18"/>
  <c r="C15" i="18"/>
  <c r="D15" i="18"/>
  <c r="E15" i="18"/>
  <c r="F15" i="18"/>
  <c r="G15" i="18"/>
  <c r="H15" i="18"/>
  <c r="I15" i="18"/>
  <c r="J15" i="18"/>
  <c r="K15" i="18"/>
  <c r="L15" i="18"/>
  <c r="M15" i="18"/>
  <c r="N15" i="18"/>
  <c r="O14" i="18"/>
  <c r="O13" i="18"/>
  <c r="O8" i="18"/>
  <c r="O9" i="18"/>
  <c r="O10" i="18"/>
  <c r="C75" i="12"/>
  <c r="C60" i="12" s="1"/>
  <c r="C55" i="12"/>
  <c r="D75" i="12"/>
  <c r="D60" i="12" s="1"/>
  <c r="D55" i="12" s="1"/>
  <c r="E75" i="12"/>
  <c r="E60" i="12"/>
  <c r="E55" i="12" s="1"/>
  <c r="F75" i="12"/>
  <c r="F60" i="12"/>
  <c r="F55" i="12"/>
  <c r="G75" i="12"/>
  <c r="G60" i="12" s="1"/>
  <c r="G55" i="12" s="1"/>
  <c r="H75" i="12"/>
  <c r="H60" i="12"/>
  <c r="H55" i="12" s="1"/>
  <c r="I75" i="12"/>
  <c r="I60" i="12" s="1"/>
  <c r="I55" i="12" s="1"/>
  <c r="J75" i="12"/>
  <c r="J60" i="12"/>
  <c r="J55" i="12" s="1"/>
  <c r="K75" i="12"/>
  <c r="K60" i="12" s="1"/>
  <c r="K55" i="12"/>
  <c r="L75" i="12"/>
  <c r="L60" i="12" s="1"/>
  <c r="L55" i="12" s="1"/>
  <c r="M75" i="12"/>
  <c r="M60" i="12"/>
  <c r="M55" i="12" s="1"/>
  <c r="N75" i="12"/>
  <c r="N60" i="12"/>
  <c r="N55" i="12"/>
  <c r="C48" i="12"/>
  <c r="D48" i="12"/>
  <c r="E48" i="12"/>
  <c r="F48" i="12"/>
  <c r="G48" i="12"/>
  <c r="H48" i="12"/>
  <c r="I48" i="12"/>
  <c r="J48" i="12"/>
  <c r="K48" i="12"/>
  <c r="L48" i="12"/>
  <c r="M48" i="12"/>
  <c r="N48" i="12"/>
  <c r="O47" i="12"/>
  <c r="C43" i="12"/>
  <c r="D43" i="12"/>
  <c r="E43" i="12"/>
  <c r="F43" i="12"/>
  <c r="G43" i="12"/>
  <c r="H43" i="12"/>
  <c r="I43" i="12"/>
  <c r="J43" i="12"/>
  <c r="K43" i="12"/>
  <c r="L43" i="12"/>
  <c r="M43" i="12"/>
  <c r="N43" i="12"/>
  <c r="C38" i="12"/>
  <c r="D38" i="12"/>
  <c r="E38" i="12"/>
  <c r="F38" i="12"/>
  <c r="G38" i="12"/>
  <c r="H38" i="12"/>
  <c r="I38" i="12"/>
  <c r="J38" i="12"/>
  <c r="K38" i="12"/>
  <c r="L38" i="12"/>
  <c r="M38" i="12"/>
  <c r="N38" i="12"/>
  <c r="O38" i="12"/>
  <c r="O37" i="12"/>
  <c r="C33" i="12"/>
  <c r="D33" i="12"/>
  <c r="O33" i="12" s="1"/>
  <c r="E33" i="12"/>
  <c r="F33" i="12"/>
  <c r="G33" i="12"/>
  <c r="H33" i="12"/>
  <c r="I33" i="12"/>
  <c r="J33" i="12"/>
  <c r="K33" i="12"/>
  <c r="L33" i="12"/>
  <c r="M33" i="12"/>
  <c r="N33" i="12"/>
  <c r="O22" i="12"/>
  <c r="O23" i="12"/>
  <c r="O24" i="12"/>
  <c r="O25" i="12"/>
  <c r="O26" i="12"/>
  <c r="O27" i="12"/>
  <c r="O28" i="12"/>
  <c r="O29" i="12"/>
  <c r="O30" i="12"/>
  <c r="O31" i="12"/>
  <c r="O19" i="12"/>
  <c r="C15" i="12"/>
  <c r="D15" i="12"/>
  <c r="O15" i="12" s="1"/>
  <c r="E15" i="12"/>
  <c r="F15" i="12"/>
  <c r="G15" i="12"/>
  <c r="H15" i="12"/>
  <c r="I15" i="12"/>
  <c r="J15" i="12"/>
  <c r="K15" i="12"/>
  <c r="L15" i="12"/>
  <c r="M15" i="12"/>
  <c r="N15" i="12"/>
  <c r="O14" i="12"/>
  <c r="O13" i="12"/>
  <c r="O8" i="12"/>
  <c r="O9" i="12"/>
  <c r="O47" i="31"/>
  <c r="O49" i="31" s="1"/>
  <c r="O48" i="31"/>
  <c r="O43" i="31"/>
  <c r="O44" i="31"/>
  <c r="O35" i="31"/>
  <c r="O36" i="31"/>
  <c r="O37" i="31"/>
  <c r="O38" i="31"/>
  <c r="O31" i="31"/>
  <c r="O32" i="31"/>
  <c r="O26" i="31"/>
  <c r="O28" i="31"/>
  <c r="O10" i="31"/>
  <c r="O11" i="31"/>
  <c r="O12" i="31"/>
  <c r="O13" i="31"/>
  <c r="O16" i="31" s="1"/>
  <c r="O14" i="31"/>
  <c r="O15" i="31"/>
  <c r="O19" i="31"/>
  <c r="O20" i="31"/>
  <c r="O21" i="31"/>
  <c r="O22" i="31"/>
  <c r="O23" i="31"/>
  <c r="O54" i="31"/>
  <c r="O55" i="31"/>
  <c r="O56" i="31"/>
  <c r="O57" i="31"/>
  <c r="O58" i="31"/>
  <c r="O59" i="31"/>
  <c r="C75" i="32"/>
  <c r="C60" i="32"/>
  <c r="C55" i="32" s="1"/>
  <c r="D75" i="32"/>
  <c r="D60" i="32"/>
  <c r="D55" i="32" s="1"/>
  <c r="E75" i="32"/>
  <c r="E60" i="32"/>
  <c r="E55" i="32"/>
  <c r="F75" i="32"/>
  <c r="F60" i="32" s="1"/>
  <c r="F55" i="32"/>
  <c r="G75" i="32"/>
  <c r="G60" i="32"/>
  <c r="G55" i="32" s="1"/>
  <c r="H75" i="32"/>
  <c r="H60" i="32"/>
  <c r="H55" i="32"/>
  <c r="I75" i="32"/>
  <c r="I60" i="32"/>
  <c r="I55" i="32"/>
  <c r="J75" i="32"/>
  <c r="J60" i="32" s="1"/>
  <c r="J55" i="32"/>
  <c r="K75" i="32"/>
  <c r="K60" i="32"/>
  <c r="K55" i="32" s="1"/>
  <c r="L75" i="32"/>
  <c r="L60" i="32"/>
  <c r="L55" i="32" s="1"/>
  <c r="M75" i="32"/>
  <c r="M60" i="32"/>
  <c r="M55" i="32"/>
  <c r="N75" i="32"/>
  <c r="N60" i="32" s="1"/>
  <c r="N55" i="32"/>
  <c r="C48" i="32"/>
  <c r="D48" i="32"/>
  <c r="E48" i="32"/>
  <c r="F48" i="32"/>
  <c r="G48" i="32"/>
  <c r="H48" i="32"/>
  <c r="I48" i="32"/>
  <c r="J48" i="32"/>
  <c r="K48" i="32"/>
  <c r="L48" i="32"/>
  <c r="M48" i="32"/>
  <c r="N48" i="32"/>
  <c r="O48" i="32"/>
  <c r="O47" i="32"/>
  <c r="C43" i="32"/>
  <c r="D43" i="32"/>
  <c r="O43" i="32" s="1"/>
  <c r="E43" i="32"/>
  <c r="F43" i="32"/>
  <c r="G43" i="32"/>
  <c r="H43" i="32"/>
  <c r="I43" i="32"/>
  <c r="J43" i="32"/>
  <c r="K43" i="32"/>
  <c r="L43" i="32"/>
  <c r="M43" i="32"/>
  <c r="N43" i="32"/>
  <c r="C38" i="32"/>
  <c r="D38" i="32"/>
  <c r="E38" i="32"/>
  <c r="F38" i="32"/>
  <c r="G38" i="32"/>
  <c r="H38" i="32"/>
  <c r="I38" i="32"/>
  <c r="J38" i="32"/>
  <c r="K38" i="32"/>
  <c r="L38" i="32"/>
  <c r="M38" i="32"/>
  <c r="N38" i="32"/>
  <c r="O37" i="32"/>
  <c r="C33" i="32"/>
  <c r="D33" i="32"/>
  <c r="E33" i="32"/>
  <c r="F33" i="32"/>
  <c r="G33" i="32"/>
  <c r="H33" i="32"/>
  <c r="I33" i="32"/>
  <c r="J33" i="32"/>
  <c r="K33" i="32"/>
  <c r="L33" i="32"/>
  <c r="M33" i="32"/>
  <c r="N33" i="32"/>
  <c r="O22" i="32"/>
  <c r="O23" i="32"/>
  <c r="O24" i="32"/>
  <c r="O25" i="32"/>
  <c r="O26" i="32"/>
  <c r="O27" i="32"/>
  <c r="O28" i="32"/>
  <c r="O29" i="32"/>
  <c r="O30" i="32"/>
  <c r="O31" i="32"/>
  <c r="O21" i="32"/>
  <c r="O19" i="32"/>
  <c r="C15" i="32"/>
  <c r="D15" i="32"/>
  <c r="O15" i="32" s="1"/>
  <c r="E15" i="32"/>
  <c r="F15" i="32"/>
  <c r="G15" i="32"/>
  <c r="H15" i="32"/>
  <c r="I15" i="32"/>
  <c r="J15" i="32"/>
  <c r="K15" i="32"/>
  <c r="L15" i="32"/>
  <c r="M15" i="32"/>
  <c r="N15" i="32"/>
  <c r="O14" i="32"/>
  <c r="O13" i="32"/>
  <c r="O8" i="32"/>
  <c r="O10" i="32" s="1"/>
  <c r="O9" i="32"/>
  <c r="O47" i="15"/>
  <c r="O48" i="15"/>
  <c r="O49" i="15"/>
  <c r="O43" i="15"/>
  <c r="O44" i="15"/>
  <c r="O35" i="15"/>
  <c r="O36" i="15"/>
  <c r="O37" i="15"/>
  <c r="O31" i="15"/>
  <c r="O32" i="15"/>
  <c r="O26" i="15"/>
  <c r="O28" i="15"/>
  <c r="O10" i="15"/>
  <c r="O11" i="15"/>
  <c r="O12" i="15"/>
  <c r="O13" i="15"/>
  <c r="O14" i="15"/>
  <c r="O15" i="15"/>
  <c r="O19" i="15"/>
  <c r="O20" i="15"/>
  <c r="O23" i="15" s="1"/>
  <c r="O21" i="15"/>
  <c r="O22" i="15"/>
  <c r="O54" i="15"/>
  <c r="O55" i="15"/>
  <c r="O56" i="15"/>
  <c r="O57" i="15"/>
  <c r="O60" i="15" s="1"/>
  <c r="O58" i="15"/>
  <c r="O59" i="15"/>
  <c r="C75" i="16"/>
  <c r="C60" i="16"/>
  <c r="C55" i="16"/>
  <c r="D75" i="16"/>
  <c r="D60" i="16" s="1"/>
  <c r="D55" i="16"/>
  <c r="E75" i="16"/>
  <c r="E60" i="16"/>
  <c r="E55" i="16" s="1"/>
  <c r="F75" i="16"/>
  <c r="F60" i="16"/>
  <c r="F55" i="16" s="1"/>
  <c r="G75" i="16"/>
  <c r="G60" i="16"/>
  <c r="G55" i="16"/>
  <c r="H75" i="16"/>
  <c r="H60" i="16" s="1"/>
  <c r="H55" i="16"/>
  <c r="I75" i="16"/>
  <c r="I60" i="16"/>
  <c r="I55" i="16" s="1"/>
  <c r="J75" i="16"/>
  <c r="J60" i="16"/>
  <c r="J55" i="16"/>
  <c r="K75" i="16"/>
  <c r="K60" i="16"/>
  <c r="K55" i="16"/>
  <c r="L75" i="16"/>
  <c r="L60" i="16" s="1"/>
  <c r="L55" i="16"/>
  <c r="M75" i="16"/>
  <c r="M60" i="16"/>
  <c r="M55" i="16" s="1"/>
  <c r="N75" i="16"/>
  <c r="N60" i="16"/>
  <c r="N55" i="16" s="1"/>
  <c r="C48" i="16"/>
  <c r="D48" i="16"/>
  <c r="E48" i="16"/>
  <c r="F48" i="16"/>
  <c r="G48" i="16"/>
  <c r="H48" i="16"/>
  <c r="I48" i="16"/>
  <c r="J48" i="16"/>
  <c r="K48" i="16"/>
  <c r="L48" i="16"/>
  <c r="M48" i="16"/>
  <c r="N48" i="16"/>
  <c r="O47" i="16"/>
  <c r="C43" i="16"/>
  <c r="D43" i="16"/>
  <c r="E43" i="16"/>
  <c r="F43" i="16"/>
  <c r="G43" i="16"/>
  <c r="H43" i="16"/>
  <c r="I43" i="16"/>
  <c r="J43" i="16"/>
  <c r="K43" i="16"/>
  <c r="L43" i="16"/>
  <c r="M43" i="16"/>
  <c r="N43" i="16"/>
  <c r="O43" i="16"/>
  <c r="C38" i="16"/>
  <c r="D38" i="16"/>
  <c r="E38" i="16"/>
  <c r="F38" i="16"/>
  <c r="G38" i="16"/>
  <c r="H38" i="16"/>
  <c r="I38" i="16"/>
  <c r="J38" i="16"/>
  <c r="K38" i="16"/>
  <c r="L38" i="16"/>
  <c r="M38" i="16"/>
  <c r="N38" i="16"/>
  <c r="O37" i="16"/>
  <c r="C33" i="16"/>
  <c r="D33" i="16"/>
  <c r="E33" i="16"/>
  <c r="F33" i="16"/>
  <c r="G33" i="16"/>
  <c r="H33" i="16"/>
  <c r="I33" i="16"/>
  <c r="J33" i="16"/>
  <c r="K33" i="16"/>
  <c r="L33" i="16"/>
  <c r="M33" i="16"/>
  <c r="N33" i="16"/>
  <c r="O22" i="16"/>
  <c r="O23" i="16"/>
  <c r="O24" i="16"/>
  <c r="O25" i="16"/>
  <c r="O26" i="16"/>
  <c r="O27" i="16"/>
  <c r="O28" i="16"/>
  <c r="O29" i="16"/>
  <c r="O30" i="16"/>
  <c r="O31" i="16"/>
  <c r="O19" i="16"/>
  <c r="C15" i="16"/>
  <c r="D15" i="16"/>
  <c r="E15" i="16"/>
  <c r="F15" i="16"/>
  <c r="G15" i="16"/>
  <c r="H15" i="16"/>
  <c r="I15" i="16"/>
  <c r="J15" i="16"/>
  <c r="K15" i="16"/>
  <c r="L15" i="16"/>
  <c r="M15" i="16"/>
  <c r="N15" i="16"/>
  <c r="O15" i="16"/>
  <c r="O14" i="16"/>
  <c r="O13" i="16"/>
  <c r="O8" i="16"/>
  <c r="O10" i="16" s="1"/>
  <c r="O9" i="16"/>
  <c r="C75" i="21"/>
  <c r="C60" i="21"/>
  <c r="C55" i="21"/>
  <c r="D75" i="21"/>
  <c r="D60" i="21"/>
  <c r="D55" i="21"/>
  <c r="E75" i="21"/>
  <c r="E60" i="21" s="1"/>
  <c r="E55" i="21" s="1"/>
  <c r="F75" i="21"/>
  <c r="F60" i="21"/>
  <c r="F55" i="21" s="1"/>
  <c r="G75" i="21"/>
  <c r="G60" i="21"/>
  <c r="G55" i="21"/>
  <c r="H75" i="21"/>
  <c r="H60" i="21"/>
  <c r="H55" i="21"/>
  <c r="I75" i="21"/>
  <c r="I60" i="21" s="1"/>
  <c r="I55" i="21" s="1"/>
  <c r="J75" i="21"/>
  <c r="J60" i="21"/>
  <c r="J55" i="21" s="1"/>
  <c r="K75" i="21"/>
  <c r="K60" i="21"/>
  <c r="K55" i="21"/>
  <c r="L75" i="21"/>
  <c r="L60" i="21"/>
  <c r="L55" i="21"/>
  <c r="M75" i="21"/>
  <c r="M60" i="21" s="1"/>
  <c r="M55" i="21" s="1"/>
  <c r="N75" i="21"/>
  <c r="N60" i="21"/>
  <c r="N55" i="21" s="1"/>
  <c r="C48" i="21"/>
  <c r="D48" i="21"/>
  <c r="E48" i="21"/>
  <c r="F48" i="21"/>
  <c r="G48" i="21"/>
  <c r="H48" i="21"/>
  <c r="I48" i="21"/>
  <c r="J48" i="21"/>
  <c r="K48" i="21"/>
  <c r="L48" i="21"/>
  <c r="M48" i="21"/>
  <c r="N48" i="21"/>
  <c r="O47" i="21"/>
  <c r="C43" i="21"/>
  <c r="D43" i="21"/>
  <c r="E43" i="21"/>
  <c r="O43" i="21" s="1"/>
  <c r="F43" i="21"/>
  <c r="G43" i="21"/>
  <c r="H43" i="21"/>
  <c r="I43" i="21"/>
  <c r="J43" i="21"/>
  <c r="K43" i="21"/>
  <c r="L43" i="21"/>
  <c r="M43" i="21"/>
  <c r="N43" i="21"/>
  <c r="C38" i="21"/>
  <c r="D38" i="21"/>
  <c r="O38" i="21" s="1"/>
  <c r="E38" i="21"/>
  <c r="F38" i="21"/>
  <c r="G38" i="21"/>
  <c r="H38" i="21"/>
  <c r="I38" i="21"/>
  <c r="J38" i="21"/>
  <c r="K38" i="21"/>
  <c r="L38" i="21"/>
  <c r="M38" i="21"/>
  <c r="N38" i="21"/>
  <c r="O37" i="21"/>
  <c r="C33" i="21"/>
  <c r="D33" i="21"/>
  <c r="E33" i="21"/>
  <c r="F33" i="21"/>
  <c r="G33" i="21"/>
  <c r="H33" i="21"/>
  <c r="I33" i="21"/>
  <c r="J33" i="21"/>
  <c r="K33" i="21"/>
  <c r="L33" i="21"/>
  <c r="M33" i="21"/>
  <c r="N33" i="21"/>
  <c r="O33" i="21"/>
  <c r="O22" i="21"/>
  <c r="O23" i="21"/>
  <c r="O24" i="21"/>
  <c r="O25" i="21"/>
  <c r="O26" i="21"/>
  <c r="O27" i="21"/>
  <c r="O28" i="21"/>
  <c r="O29" i="21"/>
  <c r="O30" i="21"/>
  <c r="O31" i="21"/>
  <c r="O19" i="21"/>
  <c r="C15" i="21"/>
  <c r="D15" i="21"/>
  <c r="E15" i="21"/>
  <c r="F15" i="21"/>
  <c r="G15" i="21"/>
  <c r="H15" i="21"/>
  <c r="I15" i="21"/>
  <c r="J15" i="21"/>
  <c r="K15" i="21"/>
  <c r="L15" i="21"/>
  <c r="M15" i="21"/>
  <c r="N15" i="21"/>
  <c r="O14" i="21"/>
  <c r="O13" i="21"/>
  <c r="O8" i="21"/>
  <c r="O9" i="21"/>
  <c r="O10" i="21"/>
  <c r="B46" i="8"/>
  <c r="B47" i="36" s="1"/>
  <c r="B47" i="8"/>
  <c r="B48" i="36" s="1"/>
  <c r="B42" i="8"/>
  <c r="B43" i="8" s="1"/>
  <c r="B34" i="8"/>
  <c r="B35" i="36" s="1"/>
  <c r="B35" i="8"/>
  <c r="B36" i="36" s="1"/>
  <c r="B36" i="8"/>
  <c r="B37" i="36" s="1"/>
  <c r="B30" i="8"/>
  <c r="B31" i="8" s="1"/>
  <c r="B26" i="8"/>
  <c r="B26" i="36" s="1"/>
  <c r="C23" i="14"/>
  <c r="C16" i="14"/>
  <c r="B27" i="36"/>
  <c r="B10" i="36"/>
  <c r="B12" i="8"/>
  <c r="B12" i="36" s="1"/>
  <c r="B14" i="36"/>
  <c r="B15" i="36"/>
  <c r="B20" i="8"/>
  <c r="B20" i="36" s="1"/>
  <c r="B21" i="8"/>
  <c r="B21" i="36" s="1"/>
  <c r="B22" i="8"/>
  <c r="B53" i="8"/>
  <c r="B54" i="36" s="1"/>
  <c r="B54" i="8"/>
  <c r="B55" i="36" s="1"/>
  <c r="B55" i="8"/>
  <c r="B56" i="36" s="1"/>
  <c r="B56" i="8"/>
  <c r="B58" i="36"/>
  <c r="P54" i="9"/>
  <c r="W54" i="9" s="1"/>
  <c r="B56" i="37"/>
  <c r="H57" i="37"/>
  <c r="C75" i="20"/>
  <c r="C60" i="20"/>
  <c r="C75" i="13"/>
  <c r="C60" i="13" s="1"/>
  <c r="C50" i="9"/>
  <c r="C50" i="37" s="1"/>
  <c r="D50" i="9"/>
  <c r="D50" i="37" s="1"/>
  <c r="E50" i="9"/>
  <c r="E50" i="37" s="1"/>
  <c r="F50" i="9"/>
  <c r="F50" i="37" s="1"/>
  <c r="G50" i="9"/>
  <c r="G50" i="37" s="1"/>
  <c r="H50" i="9"/>
  <c r="H50" i="37" s="1"/>
  <c r="I50" i="9"/>
  <c r="I50" i="37" s="1"/>
  <c r="J50" i="9"/>
  <c r="J50" i="37" s="1"/>
  <c r="K50" i="9"/>
  <c r="L50" i="9"/>
  <c r="M50" i="9"/>
  <c r="B39" i="37"/>
  <c r="B20" i="9"/>
  <c r="B20" i="37" s="1"/>
  <c r="B19" i="9"/>
  <c r="B16" i="9"/>
  <c r="B17" i="9"/>
  <c r="B17" i="37" s="1"/>
  <c r="B14" i="9"/>
  <c r="B14" i="37" s="1"/>
  <c r="C14" i="9"/>
  <c r="C14" i="37" s="1"/>
  <c r="D14" i="9"/>
  <c r="D14" i="37" s="1"/>
  <c r="E14" i="9"/>
  <c r="E14" i="37" s="1"/>
  <c r="F14" i="9"/>
  <c r="F14" i="37" s="1"/>
  <c r="G14" i="9"/>
  <c r="G14" i="37" s="1"/>
  <c r="H14" i="9"/>
  <c r="H14" i="37" s="1"/>
  <c r="I14" i="9"/>
  <c r="I14" i="37" s="1"/>
  <c r="J14" i="9"/>
  <c r="J14" i="37" s="1"/>
  <c r="K14" i="9"/>
  <c r="L14" i="9"/>
  <c r="M14" i="9"/>
  <c r="B13" i="9"/>
  <c r="B13" i="37" s="1"/>
  <c r="B8" i="9"/>
  <c r="B9" i="9"/>
  <c r="B9" i="37" s="1"/>
  <c r="C46" i="8"/>
  <c r="C47" i="8"/>
  <c r="C48" i="36" s="1"/>
  <c r="C42" i="8"/>
  <c r="C43" i="8" s="1"/>
  <c r="C34" i="8"/>
  <c r="C35" i="36" s="1"/>
  <c r="C35" i="8"/>
  <c r="C36" i="8"/>
  <c r="C37" i="36" s="1"/>
  <c r="C30" i="8"/>
  <c r="C31" i="8" s="1"/>
  <c r="C26" i="8"/>
  <c r="C27" i="8" s="1"/>
  <c r="D23" i="14"/>
  <c r="D16" i="14"/>
  <c r="C10" i="8"/>
  <c r="C11" i="8"/>
  <c r="C11" i="36" s="1"/>
  <c r="C12" i="8"/>
  <c r="C12" i="36" s="1"/>
  <c r="C13" i="8"/>
  <c r="C13" i="36" s="1"/>
  <c r="C14" i="36"/>
  <c r="C15" i="36"/>
  <c r="C19" i="8"/>
  <c r="C19" i="36" s="1"/>
  <c r="C20" i="8"/>
  <c r="C20" i="36" s="1"/>
  <c r="C21" i="8"/>
  <c r="C21" i="36" s="1"/>
  <c r="C22" i="8"/>
  <c r="C22" i="36" s="1"/>
  <c r="C53" i="8"/>
  <c r="C54" i="8"/>
  <c r="C55" i="36" s="1"/>
  <c r="C55" i="8"/>
  <c r="C56" i="36" s="1"/>
  <c r="C56" i="8"/>
  <c r="C57" i="36" s="1"/>
  <c r="C58" i="36"/>
  <c r="C57" i="8"/>
  <c r="C59" i="36" s="1"/>
  <c r="C58" i="37"/>
  <c r="D75" i="20"/>
  <c r="D60" i="20" s="1"/>
  <c r="D75" i="13"/>
  <c r="D60" i="13"/>
  <c r="C49" i="9"/>
  <c r="C49" i="37" s="1"/>
  <c r="C52" i="37"/>
  <c r="C47" i="9"/>
  <c r="C47" i="37" s="1"/>
  <c r="C44" i="37"/>
  <c r="C45" i="37"/>
  <c r="C39" i="37"/>
  <c r="C40" i="9"/>
  <c r="C40" i="37" s="1"/>
  <c r="C41" i="37"/>
  <c r="C37" i="9"/>
  <c r="C37" i="37" s="1"/>
  <c r="C20" i="9"/>
  <c r="C20" i="37" s="1"/>
  <c r="C19" i="9"/>
  <c r="C16" i="9"/>
  <c r="C16" i="37" s="1"/>
  <c r="C17" i="9"/>
  <c r="C17" i="37" s="1"/>
  <c r="C13" i="9"/>
  <c r="C13" i="37" s="1"/>
  <c r="C8" i="9"/>
  <c r="C8" i="37" s="1"/>
  <c r="C9" i="9"/>
  <c r="D46" i="8"/>
  <c r="D47" i="36" s="1"/>
  <c r="D47" i="8"/>
  <c r="D42" i="8"/>
  <c r="D43" i="8" s="1"/>
  <c r="D34" i="8"/>
  <c r="D35" i="36" s="1"/>
  <c r="D35" i="8"/>
  <c r="D36" i="8"/>
  <c r="D37" i="36" s="1"/>
  <c r="D30" i="8"/>
  <c r="D31" i="8" s="1"/>
  <c r="D26" i="8"/>
  <c r="D27" i="8" s="1"/>
  <c r="E23" i="14"/>
  <c r="E16" i="14"/>
  <c r="D10" i="8"/>
  <c r="D11" i="8"/>
  <c r="D11" i="36" s="1"/>
  <c r="D12" i="8"/>
  <c r="D12" i="36" s="1"/>
  <c r="D13" i="8"/>
  <c r="D13" i="36" s="1"/>
  <c r="D14" i="36"/>
  <c r="D19" i="8"/>
  <c r="D19" i="36" s="1"/>
  <c r="D20" i="8"/>
  <c r="D20" i="36" s="1"/>
  <c r="D21" i="8"/>
  <c r="D22" i="8"/>
  <c r="D22" i="36" s="1"/>
  <c r="D53" i="8"/>
  <c r="D54" i="36" s="1"/>
  <c r="D54" i="8"/>
  <c r="D55" i="36" s="1"/>
  <c r="D55" i="8"/>
  <c r="D56" i="36" s="1"/>
  <c r="D56" i="8"/>
  <c r="D57" i="36" s="1"/>
  <c r="D58" i="36"/>
  <c r="D57" i="8"/>
  <c r="D59" i="36" s="1"/>
  <c r="D56" i="37"/>
  <c r="E75" i="20"/>
  <c r="E60" i="20" s="1"/>
  <c r="E75" i="13"/>
  <c r="E60" i="13" s="1"/>
  <c r="D49" i="9"/>
  <c r="D49" i="37" s="1"/>
  <c r="D51" i="9"/>
  <c r="D47" i="37"/>
  <c r="D44" i="37"/>
  <c r="D45" i="37"/>
  <c r="D39" i="37"/>
  <c r="D40" i="9"/>
  <c r="D40" i="37" s="1"/>
  <c r="D41" i="9"/>
  <c r="D41" i="37" s="1"/>
  <c r="D37" i="9"/>
  <c r="D37" i="37" s="1"/>
  <c r="D20" i="9"/>
  <c r="D20" i="37" s="1"/>
  <c r="D19" i="9"/>
  <c r="D19" i="37" s="1"/>
  <c r="D16" i="9"/>
  <c r="D16" i="37" s="1"/>
  <c r="D17" i="9"/>
  <c r="D17" i="37" s="1"/>
  <c r="D13" i="9"/>
  <c r="D13" i="37" s="1"/>
  <c r="D8" i="9"/>
  <c r="D9" i="9"/>
  <c r="D9" i="37" s="1"/>
  <c r="E46" i="8"/>
  <c r="E47" i="8"/>
  <c r="E48" i="36" s="1"/>
  <c r="E42" i="8"/>
  <c r="E43" i="8" s="1"/>
  <c r="E34" i="8"/>
  <c r="E35" i="8"/>
  <c r="E36" i="8"/>
  <c r="E30" i="8"/>
  <c r="E31" i="8" s="1"/>
  <c r="E26" i="8"/>
  <c r="E27" i="8" s="1"/>
  <c r="F23" i="14"/>
  <c r="F16" i="14"/>
  <c r="E10" i="8"/>
  <c r="E11" i="8"/>
  <c r="E12" i="8"/>
  <c r="E13" i="8"/>
  <c r="E14" i="8"/>
  <c r="E15" i="8"/>
  <c r="E19" i="8"/>
  <c r="E20" i="8"/>
  <c r="E21" i="8"/>
  <c r="E22" i="8"/>
  <c r="E53" i="8"/>
  <c r="E54" i="36" s="1"/>
  <c r="E54" i="8"/>
  <c r="E55" i="36" s="1"/>
  <c r="E55" i="8"/>
  <c r="E56" i="36" s="1"/>
  <c r="E56" i="8"/>
  <c r="E58" i="36"/>
  <c r="E57" i="8"/>
  <c r="E55" i="37"/>
  <c r="E56" i="37"/>
  <c r="E57" i="37"/>
  <c r="E58" i="37"/>
  <c r="F75" i="20"/>
  <c r="F60" i="20" s="1"/>
  <c r="F75" i="13"/>
  <c r="F60" i="13" s="1"/>
  <c r="E49" i="9"/>
  <c r="E49" i="37" s="1"/>
  <c r="E51" i="9"/>
  <c r="E52" i="37" s="1"/>
  <c r="E47" i="9"/>
  <c r="E47" i="37" s="1"/>
  <c r="E44" i="9"/>
  <c r="E44" i="37" s="1"/>
  <c r="E45" i="9"/>
  <c r="E45" i="37" s="1"/>
  <c r="E39" i="9"/>
  <c r="E39" i="37" s="1"/>
  <c r="E40" i="9"/>
  <c r="E40" i="37" s="1"/>
  <c r="E41" i="9"/>
  <c r="E41" i="37" s="1"/>
  <c r="E37" i="9"/>
  <c r="E37" i="37" s="1"/>
  <c r="E20" i="9"/>
  <c r="E20" i="37" s="1"/>
  <c r="E19" i="9"/>
  <c r="E19" i="37" s="1"/>
  <c r="E16" i="9"/>
  <c r="E16" i="37" s="1"/>
  <c r="E17" i="9"/>
  <c r="E17" i="37" s="1"/>
  <c r="E13" i="9"/>
  <c r="E13" i="37" s="1"/>
  <c r="E8" i="9"/>
  <c r="E9" i="9"/>
  <c r="E9" i="37" s="1"/>
  <c r="F46" i="8"/>
  <c r="F47" i="8"/>
  <c r="F48" i="36" s="1"/>
  <c r="F42" i="8"/>
  <c r="F43" i="8" s="1"/>
  <c r="F34" i="8"/>
  <c r="F36" i="8"/>
  <c r="F35" i="8"/>
  <c r="F30" i="8"/>
  <c r="F31" i="8" s="1"/>
  <c r="F26" i="8"/>
  <c r="F27" i="8" s="1"/>
  <c r="G23" i="14"/>
  <c r="G16" i="14"/>
  <c r="F10" i="8"/>
  <c r="F11" i="8"/>
  <c r="F13" i="8"/>
  <c r="F14" i="8"/>
  <c r="F12" i="8"/>
  <c r="F15" i="8"/>
  <c r="F19" i="8"/>
  <c r="F20" i="8"/>
  <c r="F21" i="8"/>
  <c r="F22" i="8"/>
  <c r="F53" i="8"/>
  <c r="F54" i="36" s="1"/>
  <c r="F57" i="8"/>
  <c r="F54" i="8"/>
  <c r="F55" i="36" s="1"/>
  <c r="F55" i="8"/>
  <c r="F56" i="36" s="1"/>
  <c r="F56" i="8"/>
  <c r="F58" i="36"/>
  <c r="F56" i="37"/>
  <c r="F55" i="37"/>
  <c r="F57" i="37"/>
  <c r="F58" i="37"/>
  <c r="G75" i="20"/>
  <c r="G60" i="20"/>
  <c r="G75" i="13"/>
  <c r="G60" i="13" s="1"/>
  <c r="F49" i="9"/>
  <c r="F49" i="37" s="1"/>
  <c r="F51" i="37"/>
  <c r="F51" i="9"/>
  <c r="F52" i="37" s="1"/>
  <c r="F47" i="9"/>
  <c r="F47" i="37" s="1"/>
  <c r="F44" i="9"/>
  <c r="F44" i="37" s="1"/>
  <c r="F45" i="9"/>
  <c r="F45" i="37" s="1"/>
  <c r="F39" i="9"/>
  <c r="F39" i="37" s="1"/>
  <c r="F40" i="9"/>
  <c r="F40" i="37" s="1"/>
  <c r="F41" i="9"/>
  <c r="F41" i="37" s="1"/>
  <c r="F37" i="9"/>
  <c r="F37" i="37" s="1"/>
  <c r="F20" i="9"/>
  <c r="F20" i="37" s="1"/>
  <c r="F19" i="9"/>
  <c r="F19" i="37" s="1"/>
  <c r="F16" i="9"/>
  <c r="F16" i="37" s="1"/>
  <c r="F17" i="9"/>
  <c r="F17" i="37" s="1"/>
  <c r="F13" i="9"/>
  <c r="F8" i="9"/>
  <c r="F8" i="37" s="1"/>
  <c r="F9" i="9"/>
  <c r="F9" i="37" s="1"/>
  <c r="G46" i="8"/>
  <c r="G47" i="8"/>
  <c r="G48" i="36" s="1"/>
  <c r="G42" i="8"/>
  <c r="G43" i="8" s="1"/>
  <c r="G34" i="8"/>
  <c r="G35" i="8"/>
  <c r="G36" i="8"/>
  <c r="G30" i="8"/>
  <c r="G31" i="8" s="1"/>
  <c r="G26" i="8"/>
  <c r="G26" i="36" s="1"/>
  <c r="H23" i="14"/>
  <c r="H16" i="14"/>
  <c r="G10" i="8"/>
  <c r="G11" i="8"/>
  <c r="G12" i="8"/>
  <c r="G13" i="8"/>
  <c r="G14" i="8"/>
  <c r="G15" i="8"/>
  <c r="G19" i="8"/>
  <c r="G20" i="8"/>
  <c r="G21" i="8"/>
  <c r="G22" i="8"/>
  <c r="G53" i="8"/>
  <c r="G54" i="36" s="1"/>
  <c r="G57" i="8"/>
  <c r="G54" i="8"/>
  <c r="G55" i="36" s="1"/>
  <c r="G55" i="8"/>
  <c r="G56" i="36" s="1"/>
  <c r="G56" i="8"/>
  <c r="G58" i="36"/>
  <c r="G56" i="37"/>
  <c r="G58" i="37"/>
  <c r="H75" i="20"/>
  <c r="H60" i="20"/>
  <c r="H75" i="13"/>
  <c r="H60" i="13" s="1"/>
  <c r="G49" i="9"/>
  <c r="G49" i="37" s="1"/>
  <c r="G51" i="9"/>
  <c r="G52" i="37" s="1"/>
  <c r="G47" i="9"/>
  <c r="G47" i="37" s="1"/>
  <c r="G44" i="9"/>
  <c r="G44" i="37" s="1"/>
  <c r="G45" i="9"/>
  <c r="G45" i="37" s="1"/>
  <c r="G39" i="9"/>
  <c r="G39" i="37" s="1"/>
  <c r="G40" i="9"/>
  <c r="G40" i="37" s="1"/>
  <c r="G41" i="9"/>
  <c r="G41" i="37" s="1"/>
  <c r="G37" i="9"/>
  <c r="G37" i="37" s="1"/>
  <c r="G20" i="9"/>
  <c r="G20" i="37" s="1"/>
  <c r="G19" i="9"/>
  <c r="G19" i="37" s="1"/>
  <c r="G16" i="9"/>
  <c r="G16" i="37" s="1"/>
  <c r="G17" i="9"/>
  <c r="G17" i="37" s="1"/>
  <c r="G13" i="9"/>
  <c r="G13" i="37" s="1"/>
  <c r="G8" i="9"/>
  <c r="G8" i="37" s="1"/>
  <c r="G9" i="9"/>
  <c r="G9" i="37" s="1"/>
  <c r="H46" i="8"/>
  <c r="H47" i="36" s="1"/>
  <c r="H47" i="8"/>
  <c r="H48" i="36" s="1"/>
  <c r="H42" i="8"/>
  <c r="H43" i="8" s="1"/>
  <c r="H34" i="8"/>
  <c r="H35" i="8"/>
  <c r="H36" i="8"/>
  <c r="H30" i="8"/>
  <c r="H31" i="8" s="1"/>
  <c r="H26" i="8"/>
  <c r="H26" i="36" s="1"/>
  <c r="H10" i="8"/>
  <c r="H11" i="8"/>
  <c r="H12" i="8"/>
  <c r="H13" i="8"/>
  <c r="H14" i="8"/>
  <c r="H15" i="8"/>
  <c r="H19" i="8"/>
  <c r="H20" i="8"/>
  <c r="H21" i="8"/>
  <c r="H22" i="8"/>
  <c r="H53" i="8"/>
  <c r="H54" i="36" s="1"/>
  <c r="H54" i="8"/>
  <c r="H55" i="36" s="1"/>
  <c r="H55" i="8"/>
  <c r="H56" i="36" s="1"/>
  <c r="H56" i="8"/>
  <c r="H58" i="36"/>
  <c r="H57" i="8"/>
  <c r="H56" i="37"/>
  <c r="I75" i="20"/>
  <c r="I60" i="20"/>
  <c r="I75" i="13"/>
  <c r="I60" i="13" s="1"/>
  <c r="H49" i="9"/>
  <c r="H51" i="9"/>
  <c r="H52" i="37" s="1"/>
  <c r="H47" i="9"/>
  <c r="H44" i="9"/>
  <c r="H44" i="37" s="1"/>
  <c r="H45" i="9"/>
  <c r="H45" i="37" s="1"/>
  <c r="H39" i="9"/>
  <c r="H39" i="37" s="1"/>
  <c r="H40" i="9"/>
  <c r="H40" i="37" s="1"/>
  <c r="H41" i="9"/>
  <c r="H41" i="37" s="1"/>
  <c r="H37" i="9"/>
  <c r="H37" i="37" s="1"/>
  <c r="H20" i="9"/>
  <c r="H20" i="37" s="1"/>
  <c r="H19" i="9"/>
  <c r="H19" i="37" s="1"/>
  <c r="H16" i="9"/>
  <c r="H16" i="37" s="1"/>
  <c r="H17" i="9"/>
  <c r="H17" i="37" s="1"/>
  <c r="H13" i="9"/>
  <c r="H13" i="37" s="1"/>
  <c r="H8" i="9"/>
  <c r="H9" i="9"/>
  <c r="H9" i="37" s="1"/>
  <c r="I46" i="8"/>
  <c r="I47" i="36" s="1"/>
  <c r="I47" i="8"/>
  <c r="I48" i="36" s="1"/>
  <c r="I42" i="8"/>
  <c r="I43" i="8" s="1"/>
  <c r="I34" i="8"/>
  <c r="I35" i="8"/>
  <c r="I36" i="8"/>
  <c r="I30" i="8"/>
  <c r="I31" i="8" s="1"/>
  <c r="I26" i="8"/>
  <c r="I26" i="36" s="1"/>
  <c r="I10" i="8"/>
  <c r="I11" i="8"/>
  <c r="I12" i="8"/>
  <c r="I13" i="8"/>
  <c r="I14" i="8"/>
  <c r="I15" i="8"/>
  <c r="I19" i="8"/>
  <c r="I20" i="8"/>
  <c r="I21" i="8"/>
  <c r="I22" i="8"/>
  <c r="I53" i="8"/>
  <c r="I54" i="36" s="1"/>
  <c r="I54" i="8"/>
  <c r="I55" i="36" s="1"/>
  <c r="I55" i="8"/>
  <c r="I56" i="36" s="1"/>
  <c r="I56" i="8"/>
  <c r="I57" i="8"/>
  <c r="J75" i="20"/>
  <c r="J60" i="20"/>
  <c r="J75" i="13"/>
  <c r="J60" i="13" s="1"/>
  <c r="I49" i="9"/>
  <c r="I49" i="37" s="1"/>
  <c r="I51" i="37"/>
  <c r="I51" i="9"/>
  <c r="I52" i="37" s="1"/>
  <c r="I47" i="9"/>
  <c r="I47" i="37" s="1"/>
  <c r="I44" i="9"/>
  <c r="I44" i="37" s="1"/>
  <c r="I45" i="9"/>
  <c r="I45" i="37" s="1"/>
  <c r="I39" i="9"/>
  <c r="I39" i="37" s="1"/>
  <c r="I40" i="9"/>
  <c r="I40" i="37" s="1"/>
  <c r="I41" i="9"/>
  <c r="I41" i="37" s="1"/>
  <c r="L41" i="37" s="1"/>
  <c r="I37" i="9"/>
  <c r="I37" i="37" s="1"/>
  <c r="I20" i="9"/>
  <c r="I20" i="37" s="1"/>
  <c r="I19" i="9"/>
  <c r="I19" i="37" s="1"/>
  <c r="I16" i="9"/>
  <c r="I16" i="37" s="1"/>
  <c r="I17" i="9"/>
  <c r="I17" i="37" s="1"/>
  <c r="I13" i="9"/>
  <c r="I13" i="37" s="1"/>
  <c r="I8" i="9"/>
  <c r="I8" i="37" s="1"/>
  <c r="I9" i="9"/>
  <c r="I9" i="37" s="1"/>
  <c r="J46" i="8"/>
  <c r="J47" i="36" s="1"/>
  <c r="J47" i="8"/>
  <c r="J48" i="36" s="1"/>
  <c r="J42" i="8"/>
  <c r="J43" i="8" s="1"/>
  <c r="J34" i="8"/>
  <c r="J35" i="8"/>
  <c r="J36" i="8"/>
  <c r="J30" i="8"/>
  <c r="J31" i="8" s="1"/>
  <c r="J26" i="36"/>
  <c r="J10" i="8"/>
  <c r="J11" i="8"/>
  <c r="J12" i="8"/>
  <c r="J13" i="8"/>
  <c r="J14" i="8"/>
  <c r="J15" i="8"/>
  <c r="J19" i="8"/>
  <c r="J20" i="8"/>
  <c r="J21" i="8"/>
  <c r="J22" i="8"/>
  <c r="J53" i="8"/>
  <c r="J54" i="36" s="1"/>
  <c r="J54" i="8"/>
  <c r="J55" i="36" s="1"/>
  <c r="J55" i="8"/>
  <c r="J56" i="36" s="1"/>
  <c r="J56" i="8"/>
  <c r="J58" i="36"/>
  <c r="J57" i="8"/>
  <c r="J55" i="37"/>
  <c r="K75" i="20"/>
  <c r="K60" i="20"/>
  <c r="K75" i="13"/>
  <c r="K60" i="13" s="1"/>
  <c r="J49" i="9"/>
  <c r="J49" i="37" s="1"/>
  <c r="J51" i="37"/>
  <c r="J51" i="9"/>
  <c r="J52" i="37" s="1"/>
  <c r="J47" i="9"/>
  <c r="J47" i="37" s="1"/>
  <c r="J44" i="9"/>
  <c r="J44" i="37" s="1"/>
  <c r="J45" i="9"/>
  <c r="J39" i="9"/>
  <c r="J39" i="37" s="1"/>
  <c r="J40" i="9"/>
  <c r="J40" i="37" s="1"/>
  <c r="K40" i="37" s="1"/>
  <c r="J41" i="9"/>
  <c r="J41" i="37" s="1"/>
  <c r="J37" i="9"/>
  <c r="J37" i="37" s="1"/>
  <c r="J20" i="9"/>
  <c r="J20" i="37" s="1"/>
  <c r="J19" i="9"/>
  <c r="J19" i="37" s="1"/>
  <c r="J16" i="9"/>
  <c r="J16" i="37" s="1"/>
  <c r="J17" i="9"/>
  <c r="J17" i="37" s="1"/>
  <c r="J13" i="9"/>
  <c r="J13" i="37" s="1"/>
  <c r="K13" i="37" s="1"/>
  <c r="J8" i="9"/>
  <c r="J8" i="37" s="1"/>
  <c r="J9" i="9"/>
  <c r="J9" i="37" s="1"/>
  <c r="K46" i="8"/>
  <c r="K47" i="8"/>
  <c r="K42" i="8"/>
  <c r="K43" i="8" s="1"/>
  <c r="K34" i="8"/>
  <c r="K35" i="8"/>
  <c r="K36" i="8"/>
  <c r="K30" i="8"/>
  <c r="K31" i="8" s="1"/>
  <c r="K12" i="8"/>
  <c r="K13" i="8"/>
  <c r="K14" i="8"/>
  <c r="K15" i="8"/>
  <c r="K19" i="8"/>
  <c r="K20" i="8"/>
  <c r="K21" i="8"/>
  <c r="K22" i="8"/>
  <c r="K53" i="8"/>
  <c r="K54" i="8"/>
  <c r="K55" i="8"/>
  <c r="K56" i="8"/>
  <c r="K57" i="8"/>
  <c r="L75" i="20"/>
  <c r="L60" i="20" s="1"/>
  <c r="L75" i="13"/>
  <c r="L60" i="13"/>
  <c r="K49" i="9"/>
  <c r="K51" i="9"/>
  <c r="K47" i="9"/>
  <c r="K44" i="9"/>
  <c r="K45" i="9"/>
  <c r="K39" i="9"/>
  <c r="K40" i="9"/>
  <c r="K41" i="9"/>
  <c r="K37" i="9"/>
  <c r="K20" i="9"/>
  <c r="K19" i="9"/>
  <c r="K16" i="9"/>
  <c r="K17" i="9"/>
  <c r="K13" i="9"/>
  <c r="K8" i="9"/>
  <c r="K9" i="9"/>
  <c r="L46" i="8"/>
  <c r="L47" i="8"/>
  <c r="L42" i="8"/>
  <c r="L43" i="8" s="1"/>
  <c r="L34" i="8"/>
  <c r="L35" i="8"/>
  <c r="L36" i="8"/>
  <c r="L30" i="8"/>
  <c r="L31" i="8" s="1"/>
  <c r="L12" i="8"/>
  <c r="L13" i="8"/>
  <c r="L14" i="8"/>
  <c r="L15" i="8"/>
  <c r="L19" i="8"/>
  <c r="L20" i="8"/>
  <c r="L21" i="8"/>
  <c r="L22" i="8"/>
  <c r="L53" i="8"/>
  <c r="L54" i="8"/>
  <c r="L55" i="8"/>
  <c r="L56" i="8"/>
  <c r="L57" i="8"/>
  <c r="M75" i="20"/>
  <c r="M60" i="20"/>
  <c r="M75" i="13"/>
  <c r="M60" i="13" s="1"/>
  <c r="L49" i="9"/>
  <c r="L51" i="9"/>
  <c r="L47" i="9"/>
  <c r="L44" i="9"/>
  <c r="L45" i="9"/>
  <c r="L39" i="9"/>
  <c r="L40" i="9"/>
  <c r="L41" i="9"/>
  <c r="L37" i="9"/>
  <c r="L20" i="9"/>
  <c r="L19" i="9"/>
  <c r="L16" i="9"/>
  <c r="L17" i="9"/>
  <c r="L13" i="9"/>
  <c r="L8" i="9"/>
  <c r="L9" i="9"/>
  <c r="M46" i="8"/>
  <c r="M47" i="8"/>
  <c r="M42" i="8"/>
  <c r="M43" i="8" s="1"/>
  <c r="M34" i="8"/>
  <c r="M35" i="8"/>
  <c r="M36" i="8"/>
  <c r="M30" i="8"/>
  <c r="M31" i="8" s="1"/>
  <c r="M12" i="8"/>
  <c r="M13" i="8"/>
  <c r="M14" i="8"/>
  <c r="M15" i="8"/>
  <c r="M19" i="8"/>
  <c r="M20" i="8"/>
  <c r="M21" i="8"/>
  <c r="M22" i="8"/>
  <c r="M53" i="8"/>
  <c r="M54" i="8"/>
  <c r="M55" i="8"/>
  <c r="M56" i="8"/>
  <c r="M57" i="8"/>
  <c r="N75" i="20"/>
  <c r="N60" i="20"/>
  <c r="N75" i="13"/>
  <c r="N60" i="13"/>
  <c r="M49" i="9"/>
  <c r="M51" i="9"/>
  <c r="M47" i="9"/>
  <c r="M44" i="9"/>
  <c r="M45" i="9"/>
  <c r="M39" i="9"/>
  <c r="M40" i="9"/>
  <c r="M41" i="9"/>
  <c r="M37" i="9"/>
  <c r="M20" i="9"/>
  <c r="M19" i="9"/>
  <c r="M16" i="9"/>
  <c r="M17" i="9"/>
  <c r="M13" i="9"/>
  <c r="M8" i="9"/>
  <c r="M9" i="9"/>
  <c r="AL24" i="30"/>
  <c r="AM24" i="30"/>
  <c r="AN24" i="30"/>
  <c r="B57" i="36"/>
  <c r="C36" i="36"/>
  <c r="C27" i="36"/>
  <c r="D27" i="36"/>
  <c r="D21" i="36"/>
  <c r="B11" i="36"/>
  <c r="B73" i="37"/>
  <c r="C73" i="37"/>
  <c r="D73" i="37"/>
  <c r="E73" i="37"/>
  <c r="F73" i="37"/>
  <c r="G73" i="37"/>
  <c r="H73" i="37"/>
  <c r="I73" i="37"/>
  <c r="J73" i="37"/>
  <c r="Y9" i="37"/>
  <c r="Y59" i="36"/>
  <c r="Y47" i="36"/>
  <c r="Y37" i="36"/>
  <c r="Y14" i="36"/>
  <c r="Y10" i="36"/>
  <c r="K25" i="37"/>
  <c r="L25" i="37"/>
  <c r="M25" i="37"/>
  <c r="K11" i="38"/>
  <c r="M11" i="38" s="1"/>
  <c r="N11" i="38" s="1"/>
  <c r="L15" i="38"/>
  <c r="AC15" i="38"/>
  <c r="I15" i="38"/>
  <c r="K13" i="38"/>
  <c r="M13" i="38"/>
  <c r="N13" i="38" s="1"/>
  <c r="K12" i="38"/>
  <c r="M12" i="38"/>
  <c r="N12" i="38" s="1"/>
  <c r="U10" i="38"/>
  <c r="U12" i="38"/>
  <c r="W12" i="38" s="1"/>
  <c r="X12" i="38" s="1"/>
  <c r="Y12" i="38" s="1"/>
  <c r="K10" i="38"/>
  <c r="W10" i="38" s="1"/>
  <c r="M10" i="38"/>
  <c r="K9" i="38"/>
  <c r="W9" i="38"/>
  <c r="X9" i="38" s="1"/>
  <c r="Y9" i="38" s="1"/>
  <c r="Z9" i="38" s="1"/>
  <c r="AA9" i="38" s="1"/>
  <c r="V7" i="38"/>
  <c r="I7" i="38"/>
  <c r="M7" i="38" s="1"/>
  <c r="V6" i="38"/>
  <c r="I6" i="38"/>
  <c r="I8" i="38" s="1"/>
  <c r="M8" i="38" s="1"/>
  <c r="V5" i="38"/>
  <c r="M5" i="38"/>
  <c r="N5" i="38"/>
  <c r="I3" i="38"/>
  <c r="U11" i="38"/>
  <c r="X10" i="38"/>
  <c r="Y10" i="38"/>
  <c r="Z10" i="38" s="1"/>
  <c r="AA10" i="38" s="1"/>
  <c r="U13" i="38"/>
  <c r="W13" i="38" s="1"/>
  <c r="X13" i="38" s="1"/>
  <c r="Y13" i="38" s="1"/>
  <c r="Z13" i="38" s="1"/>
  <c r="AA13" i="38" s="1"/>
  <c r="L12" i="38"/>
  <c r="N7" i="38"/>
  <c r="L7" i="38"/>
  <c r="W7" i="38" s="1"/>
  <c r="N10" i="38"/>
  <c r="L10" i="38"/>
  <c r="L13" i="38"/>
  <c r="AJ13" i="38" s="1"/>
  <c r="AJ23" i="38" s="1"/>
  <c r="L24" i="38"/>
  <c r="M9" i="38"/>
  <c r="AC22" i="38"/>
  <c r="AD15" i="38"/>
  <c r="AE15" i="38" s="1"/>
  <c r="AF15" i="38" s="1"/>
  <c r="AG15" i="38" s="1"/>
  <c r="AG22" i="38" s="1"/>
  <c r="M15" i="38"/>
  <c r="N15" i="38" s="1"/>
  <c r="R15" i="38"/>
  <c r="S15" i="38" s="1"/>
  <c r="AD22" i="38"/>
  <c r="N9" i="38"/>
  <c r="L9" i="38"/>
  <c r="AM13" i="38"/>
  <c r="AM23" i="38" s="1"/>
  <c r="L23" i="37" s="1"/>
  <c r="AI13" i="38"/>
  <c r="AI23" i="38" s="1"/>
  <c r="AE13" i="38"/>
  <c r="AE23" i="38" s="1"/>
  <c r="AL13" i="38"/>
  <c r="AL23" i="38" s="1"/>
  <c r="K23" i="37" s="1"/>
  <c r="AF13" i="38"/>
  <c r="AF23" i="38" s="1"/>
  <c r="AC13" i="38"/>
  <c r="AC23" i="38" s="1"/>
  <c r="X7" i="38"/>
  <c r="Y7" i="38" s="1"/>
  <c r="Z7" i="38" s="1"/>
  <c r="AA7" i="38" s="1"/>
  <c r="AL12" i="38"/>
  <c r="AL30" i="38" s="1"/>
  <c r="K30" i="37" s="1"/>
  <c r="AH12" i="38"/>
  <c r="AH30" i="38" s="1"/>
  <c r="AI12" i="38"/>
  <c r="AI30" i="38" s="1"/>
  <c r="L25" i="38"/>
  <c r="AE22" i="38"/>
  <c r="AN9" i="38"/>
  <c r="AN26" i="38"/>
  <c r="M26" i="37" s="1"/>
  <c r="AL9" i="38"/>
  <c r="AL26" i="38" s="1"/>
  <c r="K26" i="37"/>
  <c r="AJ9" i="38"/>
  <c r="AJ26" i="38" s="1"/>
  <c r="AH9" i="38"/>
  <c r="AH26" i="38"/>
  <c r="AF9" i="38"/>
  <c r="AF26" i="38" s="1"/>
  <c r="AD9" i="38"/>
  <c r="AD26" i="38"/>
  <c r="R9" i="38"/>
  <c r="S9" i="38" s="1"/>
  <c r="AM9" i="38"/>
  <c r="AM26" i="38"/>
  <c r="L26" i="37" s="1"/>
  <c r="AK9" i="38"/>
  <c r="AK26" i="38" s="1"/>
  <c r="AI9" i="38"/>
  <c r="AI26" i="38"/>
  <c r="AG9" i="38"/>
  <c r="AG26" i="38" s="1"/>
  <c r="AE9" i="38"/>
  <c r="AE26" i="38"/>
  <c r="AC9" i="38"/>
  <c r="AC26" i="38" s="1"/>
  <c r="AF22" i="38"/>
  <c r="AH15" i="38"/>
  <c r="AI15" i="38"/>
  <c r="AJ15" i="38" s="1"/>
  <c r="AH22" i="38"/>
  <c r="AI22" i="38"/>
  <c r="Y2" i="37"/>
  <c r="Y73" i="37" s="1"/>
  <c r="Y31" i="36"/>
  <c r="Y32" i="36" s="1"/>
  <c r="L74" i="37"/>
  <c r="M74" i="37"/>
  <c r="K74" i="37"/>
  <c r="O64" i="37"/>
  <c r="V54" i="37"/>
  <c r="U54" i="37"/>
  <c r="U61" i="37" s="1"/>
  <c r="T54" i="37"/>
  <c r="S54" i="37"/>
  <c r="R54" i="37"/>
  <c r="Q54" i="37"/>
  <c r="Q61" i="37" s="1"/>
  <c r="Q63" i="37" s="1"/>
  <c r="O54" i="37"/>
  <c r="L48" i="37"/>
  <c r="O48" i="37"/>
  <c r="M48" i="37"/>
  <c r="K48" i="37"/>
  <c r="O43" i="37"/>
  <c r="O38" i="37"/>
  <c r="M33" i="37"/>
  <c r="K33" i="37"/>
  <c r="O33" i="37"/>
  <c r="L33" i="37"/>
  <c r="V21" i="37"/>
  <c r="V61" i="37" s="1"/>
  <c r="V63" i="37" s="1"/>
  <c r="U21" i="37"/>
  <c r="T21" i="37"/>
  <c r="T61" i="37"/>
  <c r="S21" i="37"/>
  <c r="R21" i="37"/>
  <c r="Q21" i="37"/>
  <c r="O21" i="37"/>
  <c r="L15" i="37"/>
  <c r="O15" i="37"/>
  <c r="M15" i="37"/>
  <c r="K15" i="37"/>
  <c r="V10" i="37"/>
  <c r="U10" i="37"/>
  <c r="T10" i="37"/>
  <c r="S10" i="37"/>
  <c r="R10" i="37"/>
  <c r="Q10" i="37"/>
  <c r="O10" i="37"/>
  <c r="M10" i="37"/>
  <c r="L10" i="37"/>
  <c r="K10" i="37"/>
  <c r="AB5" i="37"/>
  <c r="V60" i="36"/>
  <c r="U60" i="36"/>
  <c r="T60" i="36"/>
  <c r="S60" i="36"/>
  <c r="R60" i="36"/>
  <c r="Q60" i="36"/>
  <c r="O60" i="36"/>
  <c r="V49" i="36"/>
  <c r="V51" i="36" s="1"/>
  <c r="U49" i="36"/>
  <c r="T49" i="36"/>
  <c r="S49" i="36"/>
  <c r="R49" i="36"/>
  <c r="Q49" i="36"/>
  <c r="O49" i="36"/>
  <c r="M49" i="36"/>
  <c r="L49" i="36"/>
  <c r="K49" i="36"/>
  <c r="V44" i="36"/>
  <c r="U44" i="36"/>
  <c r="T44" i="36"/>
  <c r="S44" i="36"/>
  <c r="R44" i="36"/>
  <c r="Q44" i="36"/>
  <c r="O44" i="36"/>
  <c r="V38" i="36"/>
  <c r="U38" i="36"/>
  <c r="T38" i="36"/>
  <c r="S38" i="36"/>
  <c r="S40" i="36" s="1"/>
  <c r="S51" i="36" s="1"/>
  <c r="S62" i="36" s="1"/>
  <c r="R38" i="36"/>
  <c r="Q38" i="36"/>
  <c r="Q32" i="36"/>
  <c r="Q28" i="36"/>
  <c r="Q40" i="36" s="1"/>
  <c r="Q16" i="36"/>
  <c r="Q23" i="36"/>
  <c r="O38" i="36"/>
  <c r="O40" i="36" s="1"/>
  <c r="O51" i="36" s="1"/>
  <c r="O62" i="36" s="1"/>
  <c r="O66" i="36" s="1"/>
  <c r="V32" i="36"/>
  <c r="U32" i="36"/>
  <c r="U28" i="36"/>
  <c r="U16" i="36"/>
  <c r="U23" i="36"/>
  <c r="T32" i="36"/>
  <c r="S32" i="36"/>
  <c r="R32" i="36"/>
  <c r="R40" i="36" s="1"/>
  <c r="O32" i="36"/>
  <c r="K32" i="36"/>
  <c r="M32" i="36"/>
  <c r="L32" i="36"/>
  <c r="V28" i="36"/>
  <c r="T28" i="36"/>
  <c r="S28" i="36"/>
  <c r="R28" i="36"/>
  <c r="O28" i="36"/>
  <c r="V23" i="36"/>
  <c r="T23" i="36"/>
  <c r="S23" i="36"/>
  <c r="R23" i="36"/>
  <c r="O23" i="36"/>
  <c r="V16" i="36"/>
  <c r="V40" i="36" s="1"/>
  <c r="T16" i="36"/>
  <c r="S16" i="36"/>
  <c r="R16" i="36"/>
  <c r="O16" i="36"/>
  <c r="AB2" i="36"/>
  <c r="AB57" i="36"/>
  <c r="AB14" i="36"/>
  <c r="AB19" i="36"/>
  <c r="AB26" i="36"/>
  <c r="AB28" i="36" s="1"/>
  <c r="AB37" i="36"/>
  <c r="AB54" i="36"/>
  <c r="AB58" i="36"/>
  <c r="Y19" i="37"/>
  <c r="Y66" i="37"/>
  <c r="Y70" i="37"/>
  <c r="Y49" i="37"/>
  <c r="Y55" i="37"/>
  <c r="Y59" i="37"/>
  <c r="Y40" i="37"/>
  <c r="U63" i="37"/>
  <c r="AB13" i="36"/>
  <c r="AB20" i="36"/>
  <c r="AB31" i="36"/>
  <c r="AB32" i="36" s="1"/>
  <c r="AB43" i="36"/>
  <c r="AB55" i="36"/>
  <c r="AB59" i="36"/>
  <c r="Y20" i="37"/>
  <c r="Y69" i="37"/>
  <c r="B69" i="37"/>
  <c r="C69" i="37"/>
  <c r="D69" i="37"/>
  <c r="E69" i="37"/>
  <c r="F69" i="37"/>
  <c r="G69" i="37"/>
  <c r="H69" i="37"/>
  <c r="I69" i="37"/>
  <c r="J69" i="37"/>
  <c r="Y50" i="37"/>
  <c r="Y56" i="37"/>
  <c r="Y44" i="37"/>
  <c r="Y41" i="37"/>
  <c r="AB10" i="36"/>
  <c r="AB12" i="36"/>
  <c r="AB21" i="36"/>
  <c r="AB35" i="36"/>
  <c r="AB47" i="36"/>
  <c r="AB56" i="36"/>
  <c r="Y37" i="37"/>
  <c r="Y72" i="37"/>
  <c r="B72" i="37"/>
  <c r="C72" i="37"/>
  <c r="D72" i="37"/>
  <c r="E72" i="37"/>
  <c r="F72" i="37"/>
  <c r="G72" i="37"/>
  <c r="H72" i="37"/>
  <c r="I72" i="37"/>
  <c r="J72" i="37"/>
  <c r="Y68" i="37"/>
  <c r="B68" i="37"/>
  <c r="C68" i="37"/>
  <c r="D68" i="37"/>
  <c r="E68" i="37"/>
  <c r="F68" i="37"/>
  <c r="G68" i="37"/>
  <c r="H68" i="37"/>
  <c r="I68" i="37"/>
  <c r="J68" i="37"/>
  <c r="Y51" i="37"/>
  <c r="Y57" i="37"/>
  <c r="Y45" i="37"/>
  <c r="Y34" i="37"/>
  <c r="Y24" i="37"/>
  <c r="Y28" i="37"/>
  <c r="Y16" i="37"/>
  <c r="T63" i="37"/>
  <c r="S61" i="37"/>
  <c r="S63" i="37" s="1"/>
  <c r="AB15" i="36"/>
  <c r="AB11" i="36"/>
  <c r="AB22" i="36"/>
  <c r="AB36" i="36"/>
  <c r="AB48" i="36"/>
  <c r="Y47" i="37"/>
  <c r="Y71" i="37"/>
  <c r="B71" i="37"/>
  <c r="C71" i="37"/>
  <c r="D71" i="37"/>
  <c r="E71" i="37"/>
  <c r="F71" i="37"/>
  <c r="G71" i="37"/>
  <c r="H71" i="37"/>
  <c r="I71" i="37"/>
  <c r="J71" i="37"/>
  <c r="Y52" i="37"/>
  <c r="Y58" i="37"/>
  <c r="Y39" i="37"/>
  <c r="Y35" i="37"/>
  <c r="AB2" i="37"/>
  <c r="O61" i="37"/>
  <c r="O63" i="37" s="1"/>
  <c r="O65" i="37" s="1"/>
  <c r="T40" i="36"/>
  <c r="T51" i="36" s="1"/>
  <c r="T62" i="36" s="1"/>
  <c r="V62" i="36"/>
  <c r="AB72" i="37"/>
  <c r="AB68" i="37"/>
  <c r="AB28" i="37"/>
  <c r="AB24" i="37"/>
  <c r="AB34" i="37"/>
  <c r="AB50" i="37"/>
  <c r="AB20" i="37"/>
  <c r="AB9" i="37"/>
  <c r="AB56" i="37"/>
  <c r="AB67" i="37"/>
  <c r="B67" i="37"/>
  <c r="C67" i="37"/>
  <c r="D67" i="37"/>
  <c r="E67" i="37"/>
  <c r="F67" i="37"/>
  <c r="G67" i="37"/>
  <c r="H67" i="37"/>
  <c r="I67" i="37"/>
  <c r="J67" i="37"/>
  <c r="AB31" i="37"/>
  <c r="AB23" i="37"/>
  <c r="AB41" i="37"/>
  <c r="AB44" i="37"/>
  <c r="AB19" i="37"/>
  <c r="AB8" i="37"/>
  <c r="AB55" i="37"/>
  <c r="B70" i="37"/>
  <c r="C70" i="37"/>
  <c r="D70" i="37"/>
  <c r="E70" i="37"/>
  <c r="F70" i="37"/>
  <c r="G70" i="37"/>
  <c r="H70" i="37"/>
  <c r="I70" i="37"/>
  <c r="J70" i="37"/>
  <c r="AB66" i="37"/>
  <c r="AB30" i="37"/>
  <c r="AB26" i="37"/>
  <c r="AB40" i="37"/>
  <c r="AB52" i="37"/>
  <c r="AB47" i="37"/>
  <c r="AB58" i="37"/>
  <c r="AB73" i="37"/>
  <c r="AB17" i="37"/>
  <c r="AB29" i="37"/>
  <c r="AB25" i="37"/>
  <c r="AB39" i="37"/>
  <c r="AB51" i="37"/>
  <c r="AB13" i="37"/>
  <c r="N28" i="19"/>
  <c r="M28" i="19"/>
  <c r="L28" i="19"/>
  <c r="K28" i="19"/>
  <c r="J28" i="19"/>
  <c r="I28" i="19"/>
  <c r="H28" i="19"/>
  <c r="G28" i="19"/>
  <c r="F28" i="19"/>
  <c r="E28" i="19"/>
  <c r="D28" i="19"/>
  <c r="C28" i="19"/>
  <c r="N28" i="17"/>
  <c r="M28" i="17"/>
  <c r="L28" i="17"/>
  <c r="K28" i="17"/>
  <c r="J28" i="17"/>
  <c r="I28" i="17"/>
  <c r="H28" i="17"/>
  <c r="G28" i="17"/>
  <c r="F28" i="17"/>
  <c r="E28" i="17"/>
  <c r="D28" i="17"/>
  <c r="C28" i="17"/>
  <c r="H27" i="14"/>
  <c r="A3" i="25"/>
  <c r="A3" i="23"/>
  <c r="AA25" i="30"/>
  <c r="AA22" i="30"/>
  <c r="AB22" i="30" s="1"/>
  <c r="AD22" i="30" s="1"/>
  <c r="AB35" i="30"/>
  <c r="AD35" i="30" s="1"/>
  <c r="AA23" i="30"/>
  <c r="AA28" i="30"/>
  <c r="AS28" i="30" s="1"/>
  <c r="AA19" i="30"/>
  <c r="AS19" i="30" s="1"/>
  <c r="O63" i="9"/>
  <c r="G66" i="34"/>
  <c r="P66" i="34"/>
  <c r="O66" i="34"/>
  <c r="N66" i="34"/>
  <c r="P64" i="34"/>
  <c r="O64" i="34"/>
  <c r="N64" i="34"/>
  <c r="Q64" i="34" s="1"/>
  <c r="P63" i="34"/>
  <c r="O63" i="34"/>
  <c r="N63" i="34"/>
  <c r="P62" i="34"/>
  <c r="Q62" i="34" s="1"/>
  <c r="O62" i="34"/>
  <c r="N62" i="34"/>
  <c r="P61" i="34"/>
  <c r="O61" i="34"/>
  <c r="Q61" i="34" s="1"/>
  <c r="N61" i="34"/>
  <c r="P60" i="34"/>
  <c r="O60" i="34"/>
  <c r="N60" i="34"/>
  <c r="Q60" i="34" s="1"/>
  <c r="P59" i="34"/>
  <c r="O59" i="34"/>
  <c r="N59" i="34"/>
  <c r="P58" i="34"/>
  <c r="P68" i="34" s="1"/>
  <c r="O58" i="34"/>
  <c r="N58" i="34"/>
  <c r="P57" i="34"/>
  <c r="O57" i="34"/>
  <c r="N57" i="34"/>
  <c r="P56" i="34"/>
  <c r="O56" i="34"/>
  <c r="N56" i="34"/>
  <c r="Q56" i="34" s="1"/>
  <c r="P55" i="34"/>
  <c r="O55" i="34"/>
  <c r="N55" i="34"/>
  <c r="Q55" i="34" s="1"/>
  <c r="P54" i="34"/>
  <c r="O54" i="34"/>
  <c r="N54" i="34"/>
  <c r="Q54" i="34" s="1"/>
  <c r="L66" i="34"/>
  <c r="L15" i="34"/>
  <c r="P15" i="34"/>
  <c r="O15" i="34"/>
  <c r="N15" i="34"/>
  <c r="G15" i="34"/>
  <c r="N4" i="34"/>
  <c r="O4" i="34"/>
  <c r="Q4" i="34" s="1"/>
  <c r="P4" i="34"/>
  <c r="N5" i="34"/>
  <c r="O5" i="34"/>
  <c r="P5" i="34"/>
  <c r="N6" i="34"/>
  <c r="Q6" i="34" s="1"/>
  <c r="O6" i="34"/>
  <c r="P6" i="34"/>
  <c r="N7" i="34"/>
  <c r="Q7" i="34" s="1"/>
  <c r="O7" i="34"/>
  <c r="P7" i="34"/>
  <c r="N8" i="34"/>
  <c r="O8" i="34"/>
  <c r="Q8" i="34" s="1"/>
  <c r="P8" i="34"/>
  <c r="N9" i="34"/>
  <c r="O9" i="34"/>
  <c r="P9" i="34"/>
  <c r="N10" i="34"/>
  <c r="O10" i="34"/>
  <c r="P10" i="34"/>
  <c r="N11" i="34"/>
  <c r="Q11" i="34" s="1"/>
  <c r="O11" i="34"/>
  <c r="P11" i="34"/>
  <c r="N12" i="34"/>
  <c r="O12" i="34"/>
  <c r="Q12" i="34" s="1"/>
  <c r="P12" i="34"/>
  <c r="N13" i="34"/>
  <c r="O13" i="34"/>
  <c r="P13" i="34"/>
  <c r="Q13" i="34" s="1"/>
  <c r="N14" i="34"/>
  <c r="O14" i="34"/>
  <c r="P14" i="34"/>
  <c r="N16" i="34"/>
  <c r="Q16" i="34" s="1"/>
  <c r="O16" i="34"/>
  <c r="P16" i="34"/>
  <c r="N17" i="34"/>
  <c r="O17" i="34"/>
  <c r="P17" i="34"/>
  <c r="N18" i="34"/>
  <c r="O18" i="34"/>
  <c r="P18" i="34"/>
  <c r="N19" i="34"/>
  <c r="Q19" i="34" s="1"/>
  <c r="O19" i="34"/>
  <c r="P19" i="34"/>
  <c r="N20" i="34"/>
  <c r="Q20" i="34" s="1"/>
  <c r="O20" i="34"/>
  <c r="P20" i="34"/>
  <c r="N21" i="34"/>
  <c r="O21" i="34"/>
  <c r="Q21" i="34" s="1"/>
  <c r="P21" i="34"/>
  <c r="N22" i="34"/>
  <c r="O22" i="34"/>
  <c r="P22" i="34"/>
  <c r="Q22" i="34" s="1"/>
  <c r="N23" i="34"/>
  <c r="O23" i="34"/>
  <c r="P23" i="34"/>
  <c r="N24" i="34"/>
  <c r="Q24" i="34" s="1"/>
  <c r="O24" i="34"/>
  <c r="P24" i="34"/>
  <c r="N25" i="34"/>
  <c r="O25" i="34"/>
  <c r="P25" i="34"/>
  <c r="N26" i="34"/>
  <c r="O26" i="34"/>
  <c r="P26" i="34"/>
  <c r="N27" i="34"/>
  <c r="Q27" i="34" s="1"/>
  <c r="O27" i="34"/>
  <c r="P27" i="34"/>
  <c r="N28" i="34"/>
  <c r="Q28" i="34" s="1"/>
  <c r="O28" i="34"/>
  <c r="P28" i="34"/>
  <c r="N29" i="34"/>
  <c r="O29" i="34"/>
  <c r="Q29" i="34" s="1"/>
  <c r="P29" i="34"/>
  <c r="N30" i="34"/>
  <c r="O30" i="34"/>
  <c r="P30" i="34"/>
  <c r="Q30" i="34" s="1"/>
  <c r="N31" i="34"/>
  <c r="O31" i="34"/>
  <c r="P31" i="34"/>
  <c r="N32" i="34"/>
  <c r="Q32" i="34" s="1"/>
  <c r="O32" i="34"/>
  <c r="P32" i="34"/>
  <c r="N33" i="34"/>
  <c r="O33" i="34"/>
  <c r="P33" i="34"/>
  <c r="N34" i="34"/>
  <c r="O34" i="34"/>
  <c r="P34" i="34"/>
  <c r="N35" i="34"/>
  <c r="Q35" i="34" s="1"/>
  <c r="O35" i="34"/>
  <c r="P35" i="34"/>
  <c r="N36" i="34"/>
  <c r="Q36" i="34" s="1"/>
  <c r="O36" i="34"/>
  <c r="P36" i="34"/>
  <c r="N37" i="34"/>
  <c r="O37" i="34"/>
  <c r="Q37" i="34" s="1"/>
  <c r="P37" i="34"/>
  <c r="N38" i="34"/>
  <c r="O38" i="34"/>
  <c r="P38" i="34"/>
  <c r="Q38" i="34" s="1"/>
  <c r="N39" i="34"/>
  <c r="O39" i="34"/>
  <c r="P39" i="34"/>
  <c r="N40" i="34"/>
  <c r="Q40" i="34" s="1"/>
  <c r="O40" i="34"/>
  <c r="P40" i="34"/>
  <c r="N41" i="34"/>
  <c r="O41" i="34"/>
  <c r="Q41" i="34" s="1"/>
  <c r="P41" i="34"/>
  <c r="N42" i="34"/>
  <c r="O42" i="34"/>
  <c r="P42" i="34"/>
  <c r="Q42" i="34" s="1"/>
  <c r="N43" i="34"/>
  <c r="Q43" i="34" s="1"/>
  <c r="O43" i="34"/>
  <c r="P43" i="34"/>
  <c r="N44" i="34"/>
  <c r="Q44" i="34" s="1"/>
  <c r="O44" i="34"/>
  <c r="P44" i="34"/>
  <c r="N45" i="34"/>
  <c r="O45" i="34"/>
  <c r="Q45" i="34" s="1"/>
  <c r="P45" i="34"/>
  <c r="N46" i="34"/>
  <c r="O46" i="34"/>
  <c r="P46" i="34"/>
  <c r="Q46" i="34" s="1"/>
  <c r="N47" i="34"/>
  <c r="O47" i="34"/>
  <c r="P47" i="34"/>
  <c r="N48" i="34"/>
  <c r="Q48" i="34" s="1"/>
  <c r="O48" i="34"/>
  <c r="P48" i="34"/>
  <c r="N49" i="34"/>
  <c r="O49" i="34"/>
  <c r="Q49" i="34" s="1"/>
  <c r="P49" i="34"/>
  <c r="N50" i="34"/>
  <c r="O50" i="34"/>
  <c r="P50" i="34"/>
  <c r="N51" i="34"/>
  <c r="Q51" i="34" s="1"/>
  <c r="O51" i="34"/>
  <c r="P51" i="34"/>
  <c r="N52" i="34"/>
  <c r="Q52" i="34" s="1"/>
  <c r="O52" i="34"/>
  <c r="P52" i="34"/>
  <c r="P3" i="34"/>
  <c r="O3" i="34"/>
  <c r="N3" i="34"/>
  <c r="K68" i="34"/>
  <c r="J68" i="34"/>
  <c r="I68" i="34"/>
  <c r="L64" i="34"/>
  <c r="L63" i="34"/>
  <c r="L62" i="34"/>
  <c r="L61" i="34"/>
  <c r="L60" i="34"/>
  <c r="L59" i="34"/>
  <c r="L58" i="34"/>
  <c r="L57" i="34"/>
  <c r="L56" i="34"/>
  <c r="L55" i="34"/>
  <c r="L54" i="34"/>
  <c r="L52" i="34"/>
  <c r="L51" i="34"/>
  <c r="L50" i="34"/>
  <c r="L49" i="34"/>
  <c r="L48" i="34"/>
  <c r="L47" i="34"/>
  <c r="L46" i="34"/>
  <c r="L45" i="34"/>
  <c r="L44" i="34"/>
  <c r="L43" i="34"/>
  <c r="L42" i="34"/>
  <c r="L41" i="34"/>
  <c r="L40" i="34"/>
  <c r="L39" i="34"/>
  <c r="L38" i="34"/>
  <c r="L37" i="34"/>
  <c r="L36" i="34"/>
  <c r="L35" i="34"/>
  <c r="L34" i="34"/>
  <c r="L33" i="34"/>
  <c r="L32" i="34"/>
  <c r="L31" i="34"/>
  <c r="L30" i="34"/>
  <c r="L29" i="34"/>
  <c r="L28" i="34"/>
  <c r="L27" i="34"/>
  <c r="L26" i="34"/>
  <c r="L25" i="34"/>
  <c r="L24" i="34"/>
  <c r="L23" i="34"/>
  <c r="L22" i="34"/>
  <c r="L21" i="34"/>
  <c r="L20" i="34"/>
  <c r="L19" i="34"/>
  <c r="L18" i="34"/>
  <c r="L17" i="34"/>
  <c r="L16" i="34"/>
  <c r="L14" i="34"/>
  <c r="L13" i="34"/>
  <c r="L12" i="34"/>
  <c r="L11" i="34"/>
  <c r="L10" i="34"/>
  <c r="L9" i="34"/>
  <c r="L8" i="34"/>
  <c r="L7" i="34"/>
  <c r="L6" i="34"/>
  <c r="L5" i="34"/>
  <c r="L4" i="34"/>
  <c r="L3" i="34"/>
  <c r="F68" i="34"/>
  <c r="E68" i="34"/>
  <c r="D68" i="34"/>
  <c r="G64" i="34"/>
  <c r="G63" i="34"/>
  <c r="G62" i="34"/>
  <c r="G61" i="34"/>
  <c r="G60" i="34"/>
  <c r="G59" i="34"/>
  <c r="G58" i="34"/>
  <c r="G57" i="34"/>
  <c r="G56" i="34"/>
  <c r="G55" i="34"/>
  <c r="G54" i="34"/>
  <c r="G52" i="34"/>
  <c r="G51" i="34"/>
  <c r="G50" i="34"/>
  <c r="G49" i="34"/>
  <c r="G48" i="34"/>
  <c r="G47" i="34"/>
  <c r="G46" i="34"/>
  <c r="G45" i="34"/>
  <c r="G44" i="34"/>
  <c r="G43" i="34"/>
  <c r="G42" i="34"/>
  <c r="G41" i="34"/>
  <c r="G40" i="34"/>
  <c r="G39" i="34"/>
  <c r="G38" i="34"/>
  <c r="G37" i="34"/>
  <c r="G36" i="34"/>
  <c r="G35" i="34"/>
  <c r="G34" i="34"/>
  <c r="G33" i="34"/>
  <c r="G32" i="34"/>
  <c r="G31" i="34"/>
  <c r="G30" i="34"/>
  <c r="G29" i="34"/>
  <c r="G28" i="34"/>
  <c r="G27" i="34"/>
  <c r="G26" i="34"/>
  <c r="G25" i="34"/>
  <c r="G24" i="34"/>
  <c r="G23" i="34"/>
  <c r="G22" i="34"/>
  <c r="G21" i="34"/>
  <c r="G20" i="34"/>
  <c r="G19" i="34"/>
  <c r="G18" i="34"/>
  <c r="G17" i="34"/>
  <c r="G16" i="34"/>
  <c r="G14" i="34"/>
  <c r="G13" i="34"/>
  <c r="G12" i="34"/>
  <c r="G11" i="34"/>
  <c r="G10" i="34"/>
  <c r="G9" i="34"/>
  <c r="G8" i="34"/>
  <c r="G7" i="34"/>
  <c r="G6" i="34"/>
  <c r="G5" i="34"/>
  <c r="G4" i="34"/>
  <c r="G3" i="34"/>
  <c r="G68" i="34" s="1"/>
  <c r="E35" i="33"/>
  <c r="F35" i="33" s="1"/>
  <c r="D35" i="33"/>
  <c r="E11" i="33"/>
  <c r="D11" i="33"/>
  <c r="E17" i="33"/>
  <c r="D17" i="33"/>
  <c r="E6" i="33"/>
  <c r="E19" i="33"/>
  <c r="D6" i="33"/>
  <c r="E24" i="33"/>
  <c r="D24" i="33"/>
  <c r="Q66" i="34"/>
  <c r="Q10" i="34"/>
  <c r="Q9" i="34"/>
  <c r="Q47" i="34"/>
  <c r="Q39" i="34"/>
  <c r="Q33" i="34"/>
  <c r="Q31" i="34"/>
  <c r="Q25" i="34"/>
  <c r="Q23" i="34"/>
  <c r="Q17" i="34"/>
  <c r="Q14" i="34"/>
  <c r="Q50" i="34"/>
  <c r="Q34" i="34"/>
  <c r="Q26" i="34"/>
  <c r="Q18" i="34"/>
  <c r="F17" i="33"/>
  <c r="F6" i="33"/>
  <c r="J66" i="37"/>
  <c r="I66" i="37"/>
  <c r="H66" i="37"/>
  <c r="G66" i="37"/>
  <c r="F66" i="37"/>
  <c r="E66" i="37"/>
  <c r="D66" i="37"/>
  <c r="C66" i="37"/>
  <c r="B66" i="37"/>
  <c r="J58" i="37"/>
  <c r="I58" i="37"/>
  <c r="H58" i="37"/>
  <c r="D58" i="37"/>
  <c r="B58" i="37"/>
  <c r="J57" i="37"/>
  <c r="I57" i="37"/>
  <c r="G57" i="37"/>
  <c r="D57" i="37"/>
  <c r="B57" i="37"/>
  <c r="I56" i="37"/>
  <c r="G55" i="37"/>
  <c r="G59" i="37"/>
  <c r="C56" i="37"/>
  <c r="H59" i="37"/>
  <c r="D55" i="37"/>
  <c r="C55" i="37"/>
  <c r="B55" i="37"/>
  <c r="B52" i="37"/>
  <c r="G51" i="37"/>
  <c r="C51" i="37"/>
  <c r="B51" i="37"/>
  <c r="B49" i="37"/>
  <c r="B47" i="37"/>
  <c r="B45" i="37"/>
  <c r="B41" i="37"/>
  <c r="B40" i="37"/>
  <c r="B37" i="37"/>
  <c r="J35" i="37"/>
  <c r="J31" i="37"/>
  <c r="F31" i="37"/>
  <c r="C31" i="37"/>
  <c r="B31" i="37"/>
  <c r="B29" i="37"/>
  <c r="F28" i="37"/>
  <c r="C19" i="37"/>
  <c r="I58" i="36"/>
  <c r="H31" i="36"/>
  <c r="H32" i="36" s="1"/>
  <c r="B31" i="36"/>
  <c r="B32" i="36" s="1"/>
  <c r="K21" i="32"/>
  <c r="K62" i="32" s="1"/>
  <c r="K64" i="32" s="1"/>
  <c r="K10" i="32"/>
  <c r="O74" i="32"/>
  <c r="O73" i="32"/>
  <c r="O72" i="32"/>
  <c r="O71" i="32"/>
  <c r="O70" i="32"/>
  <c r="O69" i="32"/>
  <c r="O68" i="32"/>
  <c r="O67" i="32"/>
  <c r="O59" i="32"/>
  <c r="O58" i="32"/>
  <c r="O57" i="32"/>
  <c r="O56" i="32"/>
  <c r="O54" i="32"/>
  <c r="O52" i="32"/>
  <c r="O50" i="32"/>
  <c r="O49" i="32"/>
  <c r="O45" i="32"/>
  <c r="O44" i="32"/>
  <c r="O41" i="32"/>
  <c r="O40" i="32"/>
  <c r="O39" i="32"/>
  <c r="O35" i="32"/>
  <c r="O34" i="32"/>
  <c r="N21" i="32"/>
  <c r="M21" i="32"/>
  <c r="M62" i="32" s="1"/>
  <c r="M64" i="32" s="1"/>
  <c r="M64" i="31" s="1"/>
  <c r="L21" i="32"/>
  <c r="J21" i="32"/>
  <c r="I21" i="32"/>
  <c r="H21" i="32"/>
  <c r="H62" i="32" s="1"/>
  <c r="H64" i="32" s="1"/>
  <c r="G21" i="32"/>
  <c r="G62" i="32" s="1"/>
  <c r="G64" i="32" s="1"/>
  <c r="F21" i="32"/>
  <c r="E21" i="32"/>
  <c r="D21" i="32"/>
  <c r="C21" i="32"/>
  <c r="C62" i="32" s="1"/>
  <c r="C64" i="32" s="1"/>
  <c r="O17" i="32"/>
  <c r="O16" i="32"/>
  <c r="N10" i="32"/>
  <c r="M10" i="32"/>
  <c r="L10" i="32"/>
  <c r="J10" i="32"/>
  <c r="I10" i="32"/>
  <c r="H10" i="32"/>
  <c r="G10" i="32"/>
  <c r="F10" i="32"/>
  <c r="E10" i="32"/>
  <c r="D10" i="32"/>
  <c r="C10" i="32"/>
  <c r="N60" i="31"/>
  <c r="M60" i="31"/>
  <c r="L60" i="31"/>
  <c r="K60" i="31"/>
  <c r="J60" i="31"/>
  <c r="I60" i="31"/>
  <c r="H60" i="31"/>
  <c r="G60" i="31"/>
  <c r="F60" i="31"/>
  <c r="E60" i="31"/>
  <c r="D60" i="31"/>
  <c r="C60" i="31"/>
  <c r="N49" i="31"/>
  <c r="N51" i="31" s="1"/>
  <c r="N62" i="31" s="1"/>
  <c r="M49" i="31"/>
  <c r="M51" i="31" s="1"/>
  <c r="M62" i="31" s="1"/>
  <c r="L49" i="31"/>
  <c r="K49" i="31"/>
  <c r="J49" i="31"/>
  <c r="I49" i="31"/>
  <c r="H49" i="31"/>
  <c r="G49" i="31"/>
  <c r="F49" i="31"/>
  <c r="E49" i="31"/>
  <c r="D49" i="31"/>
  <c r="C49" i="31"/>
  <c r="N44" i="31"/>
  <c r="M44" i="31"/>
  <c r="L44" i="31"/>
  <c r="K44" i="31"/>
  <c r="J44" i="31"/>
  <c r="I44" i="31"/>
  <c r="H44" i="31"/>
  <c r="G44" i="31"/>
  <c r="F44" i="31"/>
  <c r="E44" i="31"/>
  <c r="D44" i="31"/>
  <c r="C44" i="31"/>
  <c r="N38" i="31"/>
  <c r="M38" i="31"/>
  <c r="L38" i="31"/>
  <c r="K38" i="31"/>
  <c r="J38" i="31"/>
  <c r="I38" i="31"/>
  <c r="H38" i="31"/>
  <c r="G38" i="31"/>
  <c r="F38" i="31"/>
  <c r="F40" i="31" s="1"/>
  <c r="E38" i="31"/>
  <c r="E40" i="31" s="1"/>
  <c r="D38" i="31"/>
  <c r="C38" i="31"/>
  <c r="N32" i="31"/>
  <c r="M32" i="31"/>
  <c r="L32" i="31"/>
  <c r="K32" i="31"/>
  <c r="J32" i="31"/>
  <c r="I32" i="31"/>
  <c r="H32" i="31"/>
  <c r="G32" i="31"/>
  <c r="F32" i="31"/>
  <c r="E32" i="31"/>
  <c r="D32" i="31"/>
  <c r="C32" i="31"/>
  <c r="N28" i="31"/>
  <c r="M28" i="31"/>
  <c r="L28" i="31"/>
  <c r="K28" i="31"/>
  <c r="J28" i="31"/>
  <c r="I28" i="31"/>
  <c r="H28" i="31"/>
  <c r="G28" i="31"/>
  <c r="F28" i="31"/>
  <c r="E28" i="31"/>
  <c r="D28" i="31"/>
  <c r="C28" i="31"/>
  <c r="N23" i="31"/>
  <c r="M23" i="31"/>
  <c r="L23" i="31"/>
  <c r="K23" i="31"/>
  <c r="J23" i="31"/>
  <c r="I23" i="31"/>
  <c r="H23" i="31"/>
  <c r="G23" i="31"/>
  <c r="F23" i="31"/>
  <c r="E23" i="31"/>
  <c r="D23" i="31"/>
  <c r="C23" i="31"/>
  <c r="N16" i="31"/>
  <c r="M16" i="31"/>
  <c r="L16" i="31"/>
  <c r="L40" i="31"/>
  <c r="K16" i="31"/>
  <c r="K40" i="31" s="1"/>
  <c r="K51" i="31" s="1"/>
  <c r="K62" i="31" s="1"/>
  <c r="K64" i="31" s="1"/>
  <c r="J16" i="31"/>
  <c r="I16" i="31"/>
  <c r="H16" i="31"/>
  <c r="H40" i="31" s="1"/>
  <c r="H51" i="31" s="1"/>
  <c r="G16" i="31"/>
  <c r="F16" i="31"/>
  <c r="E16" i="31"/>
  <c r="D16" i="31"/>
  <c r="D40" i="31" s="1"/>
  <c r="D51" i="31" s="1"/>
  <c r="D62" i="31" s="1"/>
  <c r="D64" i="31" s="1"/>
  <c r="C16" i="31"/>
  <c r="I40" i="31"/>
  <c r="M40" i="31"/>
  <c r="I62" i="32"/>
  <c r="D62" i="32"/>
  <c r="D64" i="32" s="1"/>
  <c r="L62" i="32"/>
  <c r="L64" i="32" s="1"/>
  <c r="G40" i="31"/>
  <c r="E62" i="32"/>
  <c r="E64" i="32" s="1"/>
  <c r="F62" i="32"/>
  <c r="F64" i="32" s="1"/>
  <c r="J62" i="32"/>
  <c r="J64" i="32" s="1"/>
  <c r="N62" i="32"/>
  <c r="C40" i="31"/>
  <c r="C51" i="31" s="1"/>
  <c r="O75" i="32"/>
  <c r="N40" i="31"/>
  <c r="O60" i="32"/>
  <c r="H62" i="31"/>
  <c r="H64" i="31"/>
  <c r="L51" i="31"/>
  <c r="L62" i="31" s="1"/>
  <c r="L64" i="31" s="1"/>
  <c r="C62" i="31"/>
  <c r="C64" i="31"/>
  <c r="G51" i="31"/>
  <c r="G62" i="31" s="1"/>
  <c r="G64" i="31" s="1"/>
  <c r="I51" i="31"/>
  <c r="I62" i="31"/>
  <c r="O57" i="14"/>
  <c r="U10" i="9"/>
  <c r="U58" i="8"/>
  <c r="U37" i="8"/>
  <c r="U43" i="8"/>
  <c r="U48" i="8"/>
  <c r="U31" i="8"/>
  <c r="U27" i="8"/>
  <c r="U23" i="8"/>
  <c r="U16" i="8"/>
  <c r="U53" i="9"/>
  <c r="U60" i="9" s="1"/>
  <c r="U62" i="9" s="1"/>
  <c r="R21" i="9"/>
  <c r="S21" i="9"/>
  <c r="T21" i="9"/>
  <c r="U21" i="9"/>
  <c r="V21" i="9"/>
  <c r="Q21" i="9"/>
  <c r="T10" i="9"/>
  <c r="T53" i="9"/>
  <c r="T60" i="9" s="1"/>
  <c r="T62" i="9" s="1"/>
  <c r="T64" i="36" s="1"/>
  <c r="T16" i="8"/>
  <c r="T23" i="8"/>
  <c r="T27" i="8"/>
  <c r="T31" i="8"/>
  <c r="T37" i="8"/>
  <c r="T43" i="8"/>
  <c r="T48" i="8"/>
  <c r="T58" i="8"/>
  <c r="R53" i="9"/>
  <c r="S53" i="9"/>
  <c r="S60" i="9" s="1"/>
  <c r="V53" i="9"/>
  <c r="Q53" i="9"/>
  <c r="Q60" i="9" s="1"/>
  <c r="Q10" i="9"/>
  <c r="R10" i="9"/>
  <c r="S10" i="9"/>
  <c r="V10" i="9"/>
  <c r="Q58" i="8"/>
  <c r="R58" i="8"/>
  <c r="S58" i="8"/>
  <c r="V58" i="8"/>
  <c r="Q48" i="8"/>
  <c r="R48" i="8"/>
  <c r="S48" i="8"/>
  <c r="V48" i="8"/>
  <c r="Q43" i="8"/>
  <c r="R43" i="8"/>
  <c r="S43" i="8"/>
  <c r="V43" i="8"/>
  <c r="Q37" i="8"/>
  <c r="R37" i="8"/>
  <c r="S37" i="8"/>
  <c r="V37" i="8"/>
  <c r="V39" i="8" s="1"/>
  <c r="V50" i="8" s="1"/>
  <c r="V60" i="8" s="1"/>
  <c r="Q31" i="8"/>
  <c r="R31" i="8"/>
  <c r="S31" i="8"/>
  <c r="V31" i="8"/>
  <c r="Q27" i="8"/>
  <c r="R27" i="8"/>
  <c r="S27" i="8"/>
  <c r="V27" i="8"/>
  <c r="Q23" i="8"/>
  <c r="R23" i="8"/>
  <c r="S23" i="8"/>
  <c r="V23" i="8"/>
  <c r="Q16" i="8"/>
  <c r="R16" i="8"/>
  <c r="S16" i="8"/>
  <c r="S39" i="8" s="1"/>
  <c r="S50" i="8" s="1"/>
  <c r="S60" i="8" s="1"/>
  <c r="V16" i="8"/>
  <c r="AU52" i="30"/>
  <c r="AT52" i="30"/>
  <c r="AT47" i="30"/>
  <c r="AT46" i="30"/>
  <c r="AT43" i="30"/>
  <c r="AT41" i="30"/>
  <c r="AZ41" i="30" s="1"/>
  <c r="AT39" i="30"/>
  <c r="AT38" i="30"/>
  <c r="AT37" i="30"/>
  <c r="AU47" i="30"/>
  <c r="AV47" i="30" s="1"/>
  <c r="AU46" i="30"/>
  <c r="BA46" i="30" s="1"/>
  <c r="AU45" i="30"/>
  <c r="AU44" i="30"/>
  <c r="BA44" i="30" s="1"/>
  <c r="AU43" i="30"/>
  <c r="AU41" i="30"/>
  <c r="AU39" i="30"/>
  <c r="AU38" i="30"/>
  <c r="BA38" i="30" s="1"/>
  <c r="AU37" i="30"/>
  <c r="AU32" i="30"/>
  <c r="AU31" i="30"/>
  <c r="AU30" i="30"/>
  <c r="AU29" i="30"/>
  <c r="AU28" i="30"/>
  <c r="AU25" i="30"/>
  <c r="AU7" i="30"/>
  <c r="AU8" i="30"/>
  <c r="AU9" i="30"/>
  <c r="AU10" i="30"/>
  <c r="AU11" i="30"/>
  <c r="AU12" i="30"/>
  <c r="AU13" i="30"/>
  <c r="AU14" i="30"/>
  <c r="AU15" i="30"/>
  <c r="AU16" i="30"/>
  <c r="AU17" i="30"/>
  <c r="AU18" i="30"/>
  <c r="AU19" i="30"/>
  <c r="AU20" i="30"/>
  <c r="AU21" i="30"/>
  <c r="AU22" i="30"/>
  <c r="AU23" i="30"/>
  <c r="AU6" i="30"/>
  <c r="AT44" i="30"/>
  <c r="AC34" i="30"/>
  <c r="AC54" i="30" s="1"/>
  <c r="AI32" i="30"/>
  <c r="AI31" i="30"/>
  <c r="BA31" i="30" s="1"/>
  <c r="AI30" i="30"/>
  <c r="AI29" i="30"/>
  <c r="AI28" i="30"/>
  <c r="AI25" i="30"/>
  <c r="AI7" i="30"/>
  <c r="AI8" i="30"/>
  <c r="BA8" i="30" s="1"/>
  <c r="AI9" i="30"/>
  <c r="AI10" i="30"/>
  <c r="BA10" i="30" s="1"/>
  <c r="AI11" i="30"/>
  <c r="AI12" i="30"/>
  <c r="AI13" i="30"/>
  <c r="AI14" i="30"/>
  <c r="AI15" i="30"/>
  <c r="AI16" i="30"/>
  <c r="BA16" i="30" s="1"/>
  <c r="AI17" i="30"/>
  <c r="AI18" i="30"/>
  <c r="BA18" i="30" s="1"/>
  <c r="AI19" i="30"/>
  <c r="AI20" i="30"/>
  <c r="AI21" i="30"/>
  <c r="AI22" i="30"/>
  <c r="AI23" i="30"/>
  <c r="AI6" i="30"/>
  <c r="AI34" i="30" s="1"/>
  <c r="AI54" i="30" s="1"/>
  <c r="AI35" i="30"/>
  <c r="BA30" i="30"/>
  <c r="BA25" i="30"/>
  <c r="BA23" i="30"/>
  <c r="BA20" i="30"/>
  <c r="BA19" i="30"/>
  <c r="BA12" i="30"/>
  <c r="BA11" i="30"/>
  <c r="BA7" i="30"/>
  <c r="BA45" i="30"/>
  <c r="AZ46" i="30"/>
  <c r="V60" i="9"/>
  <c r="V62" i="9" s="1"/>
  <c r="V64" i="36" s="1"/>
  <c r="R60" i="9"/>
  <c r="R62" i="9" s="1"/>
  <c r="BA29" i="30"/>
  <c r="BA39" i="30"/>
  <c r="BA37" i="30"/>
  <c r="BA42" i="30" s="1"/>
  <c r="BA48" i="30" s="1"/>
  <c r="BA53" i="30" s="1"/>
  <c r="BA41" i="30"/>
  <c r="AT45" i="30"/>
  <c r="BA14" i="30"/>
  <c r="BA15" i="30"/>
  <c r="R39" i="8"/>
  <c r="Q39" i="8"/>
  <c r="Q50" i="8" s="1"/>
  <c r="Q60" i="8" s="1"/>
  <c r="K34" i="30"/>
  <c r="K54" i="30" s="1"/>
  <c r="AS32" i="30"/>
  <c r="AR32" i="30"/>
  <c r="AQ32" i="30"/>
  <c r="AS31" i="30"/>
  <c r="AR31" i="30"/>
  <c r="AQ31" i="30"/>
  <c r="AS30" i="30"/>
  <c r="AR30" i="30"/>
  <c r="AQ30" i="30"/>
  <c r="AR29" i="30"/>
  <c r="AQ29" i="30"/>
  <c r="AR28" i="30"/>
  <c r="AQ28" i="30"/>
  <c r="AR25" i="30"/>
  <c r="AQ25" i="30"/>
  <c r="AQ7" i="30"/>
  <c r="AR7" i="30"/>
  <c r="AS7" i="30"/>
  <c r="AT7" i="30" s="1"/>
  <c r="AV7" i="30" s="1"/>
  <c r="AQ8" i="30"/>
  <c r="AR8" i="30"/>
  <c r="AS8" i="30"/>
  <c r="AQ9" i="30"/>
  <c r="AR9" i="30"/>
  <c r="AS9" i="30"/>
  <c r="AQ10" i="30"/>
  <c r="AR10" i="30"/>
  <c r="AS10" i="30"/>
  <c r="AQ11" i="30"/>
  <c r="AR11" i="30"/>
  <c r="AS11" i="30"/>
  <c r="AQ12" i="30"/>
  <c r="AR12" i="30"/>
  <c r="AS12" i="30"/>
  <c r="AQ13" i="30"/>
  <c r="AR13" i="30"/>
  <c r="AS13" i="30"/>
  <c r="AQ14" i="30"/>
  <c r="AR14" i="30"/>
  <c r="AS14" i="30"/>
  <c r="AQ15" i="30"/>
  <c r="AR15" i="30"/>
  <c r="AS15" i="30"/>
  <c r="AQ16" i="30"/>
  <c r="AR16" i="30"/>
  <c r="AS16" i="30"/>
  <c r="AQ17" i="30"/>
  <c r="AR17" i="30"/>
  <c r="AS17" i="30"/>
  <c r="AQ18" i="30"/>
  <c r="AR18" i="30"/>
  <c r="AS18" i="30"/>
  <c r="AQ19" i="30"/>
  <c r="AR19" i="30"/>
  <c r="AQ20" i="30"/>
  <c r="AR20" i="30"/>
  <c r="AS20" i="30"/>
  <c r="AQ21" i="30"/>
  <c r="AR21" i="30"/>
  <c r="AS21" i="30"/>
  <c r="AQ22" i="30"/>
  <c r="AR22" i="30"/>
  <c r="AQ23" i="30"/>
  <c r="AR23" i="30"/>
  <c r="AR6" i="30"/>
  <c r="AS6" i="30"/>
  <c r="AQ6" i="30"/>
  <c r="AS25" i="30"/>
  <c r="AY25" i="30" s="1"/>
  <c r="AA29" i="30"/>
  <c r="AS23" i="30"/>
  <c r="Z34" i="30"/>
  <c r="Y34" i="30"/>
  <c r="AG32" i="30"/>
  <c r="AF32" i="30"/>
  <c r="AE32" i="30"/>
  <c r="AB32" i="30"/>
  <c r="AD32" i="30" s="1"/>
  <c r="AF31" i="30"/>
  <c r="AE31" i="30"/>
  <c r="AB31" i="30"/>
  <c r="AD31" i="30" s="1"/>
  <c r="AG30" i="30"/>
  <c r="AF30" i="30"/>
  <c r="AE30" i="30"/>
  <c r="AB30" i="30"/>
  <c r="AD30" i="30" s="1"/>
  <c r="AF29" i="30"/>
  <c r="AE29" i="30"/>
  <c r="AF28" i="30"/>
  <c r="AE28" i="30"/>
  <c r="AB28" i="30"/>
  <c r="AD28" i="30" s="1"/>
  <c r="AF25" i="30"/>
  <c r="AE25" i="30"/>
  <c r="AB25" i="30"/>
  <c r="AD25" i="30" s="1"/>
  <c r="AF23" i="30"/>
  <c r="AE23" i="30"/>
  <c r="AB23" i="30"/>
  <c r="AD23" i="30" s="1"/>
  <c r="AF22" i="30"/>
  <c r="AE22" i="30"/>
  <c r="AG21" i="30"/>
  <c r="AE21" i="30"/>
  <c r="AB21" i="30"/>
  <c r="AD21" i="30" s="1"/>
  <c r="AG20" i="30"/>
  <c r="AE20" i="30"/>
  <c r="AB20" i="30"/>
  <c r="AD20" i="30" s="1"/>
  <c r="AF19" i="30"/>
  <c r="AE19" i="30"/>
  <c r="AG18" i="30"/>
  <c r="AE18" i="30"/>
  <c r="AB18" i="30"/>
  <c r="AD18" i="30" s="1"/>
  <c r="AG17" i="30"/>
  <c r="AF17" i="30"/>
  <c r="AE17" i="30"/>
  <c r="AB17" i="30"/>
  <c r="AD17" i="30" s="1"/>
  <c r="AG16" i="30"/>
  <c r="AF16" i="30"/>
  <c r="AE16" i="30"/>
  <c r="AH16" i="30" s="1"/>
  <c r="AB16" i="30"/>
  <c r="AD16" i="30" s="1"/>
  <c r="AG15" i="30"/>
  <c r="AF15" i="30"/>
  <c r="AE15" i="30"/>
  <c r="AB15" i="30"/>
  <c r="AD15" i="30" s="1"/>
  <c r="AG14" i="30"/>
  <c r="AF14" i="30"/>
  <c r="AE14" i="30"/>
  <c r="AB14" i="30"/>
  <c r="AD14" i="30" s="1"/>
  <c r="AG13" i="30"/>
  <c r="AF13" i="30"/>
  <c r="AE13" i="30"/>
  <c r="AB13" i="30"/>
  <c r="AD13" i="30" s="1"/>
  <c r="AG12" i="30"/>
  <c r="AF12" i="30"/>
  <c r="AE12" i="30"/>
  <c r="AB12" i="30"/>
  <c r="AD12" i="30" s="1"/>
  <c r="AG11" i="30"/>
  <c r="AF11" i="30"/>
  <c r="AE11" i="30"/>
  <c r="AB11" i="30"/>
  <c r="AD11" i="30" s="1"/>
  <c r="AG10" i="30"/>
  <c r="AF10" i="30"/>
  <c r="AE10" i="30"/>
  <c r="AB10" i="30"/>
  <c r="AD10" i="30" s="1"/>
  <c r="AG9" i="30"/>
  <c r="AE9" i="30"/>
  <c r="AB9" i="30"/>
  <c r="AD9" i="30" s="1"/>
  <c r="AG8" i="30"/>
  <c r="AF8" i="30"/>
  <c r="AE8" i="30"/>
  <c r="AB8" i="30"/>
  <c r="AD8" i="30" s="1"/>
  <c r="AG7" i="30"/>
  <c r="AF7" i="30"/>
  <c r="AE7" i="30"/>
  <c r="AB7" i="30"/>
  <c r="AD7" i="30" s="1"/>
  <c r="AG6" i="30"/>
  <c r="AF6" i="30"/>
  <c r="AE6" i="30"/>
  <c r="AB6" i="30"/>
  <c r="AD6" i="30" s="1"/>
  <c r="O48" i="9"/>
  <c r="O58" i="8"/>
  <c r="O48" i="8"/>
  <c r="O43" i="8"/>
  <c r="O37" i="8"/>
  <c r="O31" i="8"/>
  <c r="O27" i="8"/>
  <c r="O23" i="8"/>
  <c r="O16" i="8"/>
  <c r="O53" i="9"/>
  <c r="O43" i="9"/>
  <c r="O38" i="9"/>
  <c r="O33" i="9"/>
  <c r="O21" i="9"/>
  <c r="O15" i="9"/>
  <c r="O10" i="9"/>
  <c r="AS22" i="30"/>
  <c r="AT12" i="30"/>
  <c r="AV12" i="30" s="1"/>
  <c r="G34" i="30"/>
  <c r="H34" i="30"/>
  <c r="I34" i="30"/>
  <c r="O40" i="21"/>
  <c r="O40" i="29"/>
  <c r="O40" i="18"/>
  <c r="O40" i="16"/>
  <c r="O40" i="13"/>
  <c r="O40" i="12"/>
  <c r="O40" i="11"/>
  <c r="O40" i="20"/>
  <c r="O40" i="6"/>
  <c r="O41" i="5"/>
  <c r="O24" i="20"/>
  <c r="O24" i="13"/>
  <c r="O24" i="6"/>
  <c r="O24" i="5"/>
  <c r="N38" i="28"/>
  <c r="M38" i="28"/>
  <c r="L38" i="28"/>
  <c r="K38" i="28"/>
  <c r="J38" i="28"/>
  <c r="I38" i="28"/>
  <c r="H38" i="28"/>
  <c r="G38" i="28"/>
  <c r="F38" i="28"/>
  <c r="E38" i="28"/>
  <c r="D38" i="28"/>
  <c r="C38" i="28"/>
  <c r="N32" i="28"/>
  <c r="M32" i="28"/>
  <c r="L32" i="28"/>
  <c r="K32" i="28"/>
  <c r="J32" i="28"/>
  <c r="I32" i="28"/>
  <c r="H32" i="28"/>
  <c r="G32" i="28"/>
  <c r="F32" i="28"/>
  <c r="E32" i="28"/>
  <c r="D32" i="28"/>
  <c r="C32" i="28"/>
  <c r="N28" i="28"/>
  <c r="M28" i="28"/>
  <c r="L28" i="28"/>
  <c r="K28" i="28"/>
  <c r="J28" i="28"/>
  <c r="I28" i="28"/>
  <c r="H28" i="28"/>
  <c r="G28" i="28"/>
  <c r="F28" i="28"/>
  <c r="E28" i="28"/>
  <c r="D28" i="28"/>
  <c r="C28" i="28"/>
  <c r="N23" i="28"/>
  <c r="M23" i="28"/>
  <c r="L23" i="28"/>
  <c r="K23" i="28"/>
  <c r="J23" i="28"/>
  <c r="I23" i="28"/>
  <c r="H23" i="28"/>
  <c r="G23" i="28"/>
  <c r="F23" i="28"/>
  <c r="E23" i="28"/>
  <c r="D23" i="28"/>
  <c r="C23" i="28"/>
  <c r="N16" i="28"/>
  <c r="M16" i="28"/>
  <c r="L16" i="28"/>
  <c r="K16" i="28"/>
  <c r="J16" i="28"/>
  <c r="I16" i="28"/>
  <c r="H16" i="28"/>
  <c r="G16" i="28"/>
  <c r="F16" i="28"/>
  <c r="E16" i="28"/>
  <c r="D16" i="28"/>
  <c r="C16" i="28"/>
  <c r="N38" i="26"/>
  <c r="M38" i="26"/>
  <c r="L38" i="26"/>
  <c r="K38" i="26"/>
  <c r="J38" i="26"/>
  <c r="I38" i="26"/>
  <c r="H38" i="26"/>
  <c r="G38" i="26"/>
  <c r="F38" i="26"/>
  <c r="E38" i="26"/>
  <c r="D38" i="26"/>
  <c r="C38" i="26"/>
  <c r="N32" i="26"/>
  <c r="M32" i="26"/>
  <c r="L32" i="26"/>
  <c r="K32" i="26"/>
  <c r="J32" i="26"/>
  <c r="I32" i="26"/>
  <c r="H32" i="26"/>
  <c r="G32" i="26"/>
  <c r="F32" i="26"/>
  <c r="E32" i="26"/>
  <c r="D32" i="26"/>
  <c r="C32" i="26"/>
  <c r="N28" i="26"/>
  <c r="M28" i="26"/>
  <c r="L28" i="26"/>
  <c r="K28" i="26"/>
  <c r="J28" i="26"/>
  <c r="I28" i="26"/>
  <c r="H28" i="26"/>
  <c r="G28" i="26"/>
  <c r="F28" i="26"/>
  <c r="E28" i="26"/>
  <c r="D28" i="26"/>
  <c r="C28" i="26"/>
  <c r="N23" i="26"/>
  <c r="M23" i="26"/>
  <c r="L23" i="26"/>
  <c r="K23" i="26"/>
  <c r="J23" i="26"/>
  <c r="I23" i="26"/>
  <c r="H23" i="26"/>
  <c r="G23" i="26"/>
  <c r="F23" i="26"/>
  <c r="E23" i="26"/>
  <c r="D23" i="26"/>
  <c r="C23" i="26"/>
  <c r="N16" i="26"/>
  <c r="M16" i="26"/>
  <c r="L16" i="26"/>
  <c r="K16" i="26"/>
  <c r="J16" i="26"/>
  <c r="I16" i="26"/>
  <c r="H16" i="26"/>
  <c r="G16" i="26"/>
  <c r="F16" i="26"/>
  <c r="E16" i="26"/>
  <c r="D16" i="26"/>
  <c r="C16" i="26"/>
  <c r="N38" i="15"/>
  <c r="M38" i="15"/>
  <c r="L38" i="15"/>
  <c r="K38" i="15"/>
  <c r="J38" i="15"/>
  <c r="I38" i="15"/>
  <c r="H38" i="15"/>
  <c r="G38" i="15"/>
  <c r="F38" i="15"/>
  <c r="E38" i="15"/>
  <c r="D38" i="15"/>
  <c r="C38" i="15"/>
  <c r="N32" i="15"/>
  <c r="M32" i="15"/>
  <c r="L32" i="15"/>
  <c r="K32" i="15"/>
  <c r="J32" i="15"/>
  <c r="I32" i="15"/>
  <c r="H32" i="15"/>
  <c r="G32" i="15"/>
  <c r="F32" i="15"/>
  <c r="E32" i="15"/>
  <c r="D32" i="15"/>
  <c r="C32" i="15"/>
  <c r="N28" i="15"/>
  <c r="M28" i="15"/>
  <c r="L28" i="15"/>
  <c r="K28" i="15"/>
  <c r="J28" i="15"/>
  <c r="I28" i="15"/>
  <c r="H28" i="15"/>
  <c r="G28" i="15"/>
  <c r="F28" i="15"/>
  <c r="E28" i="15"/>
  <c r="D28" i="15"/>
  <c r="C28" i="15"/>
  <c r="N23" i="15"/>
  <c r="M23" i="15"/>
  <c r="L23" i="15"/>
  <c r="K23" i="15"/>
  <c r="J23" i="15"/>
  <c r="I23" i="15"/>
  <c r="H23" i="15"/>
  <c r="G23" i="15"/>
  <c r="F23" i="15"/>
  <c r="E23" i="15"/>
  <c r="D23" i="15"/>
  <c r="C23" i="15"/>
  <c r="N16" i="15"/>
  <c r="M16" i="15"/>
  <c r="L16" i="15"/>
  <c r="K16" i="15"/>
  <c r="J16" i="15"/>
  <c r="I16" i="15"/>
  <c r="H16" i="15"/>
  <c r="G16" i="15"/>
  <c r="F16" i="15"/>
  <c r="E16" i="15"/>
  <c r="D16" i="15"/>
  <c r="C16" i="15"/>
  <c r="N38" i="27"/>
  <c r="M38" i="27"/>
  <c r="L38" i="27"/>
  <c r="K38" i="27"/>
  <c r="J38" i="27"/>
  <c r="I38" i="27"/>
  <c r="H38" i="27"/>
  <c r="G38" i="27"/>
  <c r="F38" i="27"/>
  <c r="E38" i="27"/>
  <c r="D38" i="27"/>
  <c r="C38" i="27"/>
  <c r="O37" i="27"/>
  <c r="O36" i="27"/>
  <c r="O35" i="27"/>
  <c r="N32" i="27"/>
  <c r="M32" i="27"/>
  <c r="L32" i="27"/>
  <c r="K32" i="27"/>
  <c r="J32" i="27"/>
  <c r="I32" i="27"/>
  <c r="H32" i="27"/>
  <c r="G32" i="27"/>
  <c r="F32" i="27"/>
  <c r="E32" i="27"/>
  <c r="D32" i="27"/>
  <c r="C32" i="27"/>
  <c r="O31" i="27"/>
  <c r="O32" i="27"/>
  <c r="N28" i="27"/>
  <c r="M28" i="27"/>
  <c r="L28" i="27"/>
  <c r="K28" i="27"/>
  <c r="J28" i="27"/>
  <c r="I28" i="27"/>
  <c r="H28" i="27"/>
  <c r="G28" i="27"/>
  <c r="F28" i="27"/>
  <c r="E28" i="27"/>
  <c r="D28" i="27"/>
  <c r="C28" i="27"/>
  <c r="O26" i="27"/>
  <c r="O28" i="27"/>
  <c r="N23" i="27"/>
  <c r="M23" i="27"/>
  <c r="L23" i="27"/>
  <c r="K23" i="27"/>
  <c r="J23" i="27"/>
  <c r="I23" i="27"/>
  <c r="H23" i="27"/>
  <c r="G23" i="27"/>
  <c r="F23" i="27"/>
  <c r="E23" i="27"/>
  <c r="D23" i="27"/>
  <c r="C23" i="27"/>
  <c r="O22" i="27"/>
  <c r="O21" i="27"/>
  <c r="O20" i="27"/>
  <c r="O19" i="27"/>
  <c r="N16" i="27"/>
  <c r="M16" i="27"/>
  <c r="L16" i="27"/>
  <c r="K16" i="27"/>
  <c r="J16" i="27"/>
  <c r="I16" i="27"/>
  <c r="H16" i="27"/>
  <c r="G16" i="27"/>
  <c r="F16" i="27"/>
  <c r="E16" i="27"/>
  <c r="D16" i="27"/>
  <c r="C16" i="27"/>
  <c r="O15" i="27"/>
  <c r="O14" i="27"/>
  <c r="O13" i="27"/>
  <c r="O12" i="27"/>
  <c r="O11" i="27"/>
  <c r="O10" i="27"/>
  <c r="N38" i="1"/>
  <c r="M38" i="1"/>
  <c r="L38" i="1"/>
  <c r="K38" i="1"/>
  <c r="J38" i="1"/>
  <c r="I38" i="1"/>
  <c r="H38" i="1"/>
  <c r="G38" i="1"/>
  <c r="F38" i="1"/>
  <c r="E38" i="1"/>
  <c r="D38" i="1"/>
  <c r="C38" i="1"/>
  <c r="N32" i="1"/>
  <c r="M32" i="1"/>
  <c r="L32" i="1"/>
  <c r="K32" i="1"/>
  <c r="J32" i="1"/>
  <c r="I32" i="1"/>
  <c r="H32" i="1"/>
  <c r="G32" i="1"/>
  <c r="F32" i="1"/>
  <c r="E32" i="1"/>
  <c r="D32" i="1"/>
  <c r="C32" i="1"/>
  <c r="N28" i="1"/>
  <c r="M28" i="1"/>
  <c r="L28" i="1"/>
  <c r="K28" i="1"/>
  <c r="J28" i="1"/>
  <c r="I28" i="1"/>
  <c r="H28" i="1"/>
  <c r="G28" i="1"/>
  <c r="F28" i="1"/>
  <c r="E28" i="1"/>
  <c r="D28" i="1"/>
  <c r="C28" i="1"/>
  <c r="N23" i="1"/>
  <c r="M23" i="1"/>
  <c r="L23" i="1"/>
  <c r="K23" i="1"/>
  <c r="J23" i="1"/>
  <c r="I23" i="1"/>
  <c r="H23" i="1"/>
  <c r="G23" i="1"/>
  <c r="F23" i="1"/>
  <c r="E23" i="1"/>
  <c r="D23" i="1"/>
  <c r="C23" i="1"/>
  <c r="N16" i="1"/>
  <c r="M16" i="1"/>
  <c r="L16" i="1"/>
  <c r="K16" i="1"/>
  <c r="K40" i="1" s="1"/>
  <c r="J16" i="1"/>
  <c r="I16" i="1"/>
  <c r="H16" i="1"/>
  <c r="G16" i="1"/>
  <c r="F16" i="1"/>
  <c r="E16" i="1"/>
  <c r="D16" i="1"/>
  <c r="C16" i="1"/>
  <c r="C40" i="1" s="1"/>
  <c r="N23" i="19"/>
  <c r="M23" i="19"/>
  <c r="L23" i="19"/>
  <c r="K23" i="19"/>
  <c r="J23" i="19"/>
  <c r="I23" i="19"/>
  <c r="H23" i="19"/>
  <c r="G23" i="19"/>
  <c r="F23" i="19"/>
  <c r="E23" i="19"/>
  <c r="D23" i="19"/>
  <c r="C23" i="19"/>
  <c r="O22" i="19"/>
  <c r="O21" i="19"/>
  <c r="O20" i="19"/>
  <c r="O19" i="19"/>
  <c r="O23" i="19" s="1"/>
  <c r="N23" i="17"/>
  <c r="M23" i="17"/>
  <c r="L23" i="17"/>
  <c r="K23" i="17"/>
  <c r="J23" i="17"/>
  <c r="I23" i="17"/>
  <c r="H23" i="17"/>
  <c r="G23" i="17"/>
  <c r="F23" i="17"/>
  <c r="E23" i="17"/>
  <c r="D23" i="17"/>
  <c r="C23" i="17"/>
  <c r="O22" i="17"/>
  <c r="O21" i="17"/>
  <c r="O20" i="17"/>
  <c r="O19" i="17"/>
  <c r="O23" i="17" s="1"/>
  <c r="O22" i="14"/>
  <c r="O21" i="14"/>
  <c r="O20" i="14"/>
  <c r="O19" i="14"/>
  <c r="O16" i="27"/>
  <c r="O23" i="27"/>
  <c r="O38" i="27"/>
  <c r="O40" i="27" s="1"/>
  <c r="E40" i="1"/>
  <c r="G40" i="1"/>
  <c r="I40" i="1"/>
  <c r="M40" i="1"/>
  <c r="D40" i="27"/>
  <c r="J40" i="27"/>
  <c r="L40" i="27"/>
  <c r="N40" i="27"/>
  <c r="C40" i="15"/>
  <c r="E40" i="15"/>
  <c r="G40" i="15"/>
  <c r="I40" i="15"/>
  <c r="K40" i="15"/>
  <c r="M40" i="15"/>
  <c r="D40" i="26"/>
  <c r="F40" i="26"/>
  <c r="H40" i="26"/>
  <c r="J40" i="26"/>
  <c r="L40" i="26"/>
  <c r="N40" i="26"/>
  <c r="C40" i="28"/>
  <c r="E40" i="28"/>
  <c r="G40" i="28"/>
  <c r="I40" i="28"/>
  <c r="K40" i="28"/>
  <c r="M40" i="28"/>
  <c r="D40" i="1"/>
  <c r="F40" i="1"/>
  <c r="H40" i="1"/>
  <c r="J40" i="1"/>
  <c r="L40" i="1"/>
  <c r="N40" i="1"/>
  <c r="C40" i="27"/>
  <c r="E40" i="27"/>
  <c r="G40" i="27"/>
  <c r="I40" i="27"/>
  <c r="K40" i="27"/>
  <c r="M40" i="27"/>
  <c r="D40" i="15"/>
  <c r="F40" i="15"/>
  <c r="H40" i="15"/>
  <c r="J40" i="15"/>
  <c r="L40" i="15"/>
  <c r="N40" i="15"/>
  <c r="C40" i="26"/>
  <c r="E40" i="26"/>
  <c r="G40" i="26"/>
  <c r="I40" i="26"/>
  <c r="I51" i="26" s="1"/>
  <c r="I62" i="26" s="1"/>
  <c r="K40" i="26"/>
  <c r="M40" i="26"/>
  <c r="D40" i="28"/>
  <c r="F40" i="28"/>
  <c r="H40" i="28"/>
  <c r="J40" i="28"/>
  <c r="L40" i="28"/>
  <c r="N40" i="28"/>
  <c r="H40" i="27"/>
  <c r="F40" i="27"/>
  <c r="D21" i="6"/>
  <c r="E21" i="6"/>
  <c r="F21" i="6"/>
  <c r="G21" i="6"/>
  <c r="H21" i="6"/>
  <c r="I21" i="6"/>
  <c r="J21" i="6"/>
  <c r="K21" i="6"/>
  <c r="L21" i="6"/>
  <c r="M21" i="6"/>
  <c r="N21" i="6"/>
  <c r="D21" i="20"/>
  <c r="E21" i="20"/>
  <c r="F21" i="20"/>
  <c r="G21" i="20"/>
  <c r="H21" i="20"/>
  <c r="I21" i="20"/>
  <c r="J21" i="20"/>
  <c r="K21" i="20"/>
  <c r="L21" i="20"/>
  <c r="M21" i="20"/>
  <c r="N21" i="20"/>
  <c r="D21" i="11"/>
  <c r="E21" i="11"/>
  <c r="F21" i="11"/>
  <c r="G21" i="11"/>
  <c r="H21" i="11"/>
  <c r="I21" i="11"/>
  <c r="J21" i="11"/>
  <c r="K21" i="11"/>
  <c r="L21" i="11"/>
  <c r="M21" i="11"/>
  <c r="N21" i="11"/>
  <c r="D21" i="12"/>
  <c r="E21" i="12"/>
  <c r="F21" i="12"/>
  <c r="G21" i="12"/>
  <c r="H21" i="12"/>
  <c r="I21" i="12"/>
  <c r="J21" i="12"/>
  <c r="K21" i="12"/>
  <c r="L21" i="12"/>
  <c r="M21" i="12"/>
  <c r="N21" i="12"/>
  <c r="D21" i="13"/>
  <c r="E21" i="13"/>
  <c r="F21" i="13"/>
  <c r="G21" i="13"/>
  <c r="H21" i="13"/>
  <c r="I21" i="13"/>
  <c r="J21" i="13"/>
  <c r="K21" i="13"/>
  <c r="L21" i="13"/>
  <c r="M21" i="13"/>
  <c r="N21" i="13"/>
  <c r="D21" i="16"/>
  <c r="E21" i="16"/>
  <c r="F21" i="16"/>
  <c r="G21" i="16"/>
  <c r="G62" i="16" s="1"/>
  <c r="H21" i="16"/>
  <c r="I21" i="16"/>
  <c r="J21" i="16"/>
  <c r="K21" i="16"/>
  <c r="K62" i="16" s="1"/>
  <c r="L21" i="16"/>
  <c r="M21" i="16"/>
  <c r="N21" i="16"/>
  <c r="D21" i="18"/>
  <c r="D62" i="18" s="1"/>
  <c r="E21" i="18"/>
  <c r="F21" i="18"/>
  <c r="G21" i="18"/>
  <c r="H21" i="18"/>
  <c r="I21" i="18"/>
  <c r="J21" i="18"/>
  <c r="K21" i="18"/>
  <c r="L21" i="18"/>
  <c r="L62" i="18" s="1"/>
  <c r="M21" i="18"/>
  <c r="N21" i="18"/>
  <c r="D21" i="29"/>
  <c r="E21" i="29"/>
  <c r="E62" i="29" s="1"/>
  <c r="E64" i="29" s="1"/>
  <c r="F21" i="29"/>
  <c r="G21" i="29"/>
  <c r="H21" i="29"/>
  <c r="I21" i="29"/>
  <c r="I62" i="29" s="1"/>
  <c r="I64" i="29" s="1"/>
  <c r="J21" i="29"/>
  <c r="K21" i="29"/>
  <c r="L21" i="29"/>
  <c r="M21" i="29"/>
  <c r="N21" i="29"/>
  <c r="D21" i="21"/>
  <c r="E21" i="21"/>
  <c r="F21" i="21"/>
  <c r="F62" i="21" s="1"/>
  <c r="G21" i="21"/>
  <c r="H21" i="21"/>
  <c r="I21" i="21"/>
  <c r="J21" i="21"/>
  <c r="J62" i="21" s="1"/>
  <c r="K21" i="21"/>
  <c r="L21" i="21"/>
  <c r="M21" i="21"/>
  <c r="N21" i="21"/>
  <c r="N62" i="21" s="1"/>
  <c r="D21" i="5"/>
  <c r="E21" i="5"/>
  <c r="F21" i="5"/>
  <c r="G21" i="5"/>
  <c r="H21" i="5"/>
  <c r="I21" i="5"/>
  <c r="J21" i="5"/>
  <c r="C21" i="6"/>
  <c r="C21" i="20"/>
  <c r="C21" i="11"/>
  <c r="C21" i="12"/>
  <c r="C21" i="13"/>
  <c r="C21" i="16"/>
  <c r="C21" i="18"/>
  <c r="C21" i="29"/>
  <c r="C21" i="21"/>
  <c r="C62" i="21" s="1"/>
  <c r="C21" i="5"/>
  <c r="O30" i="6"/>
  <c r="O31" i="6"/>
  <c r="O30" i="20"/>
  <c r="O31" i="20"/>
  <c r="O30" i="13"/>
  <c r="O31" i="13"/>
  <c r="O30" i="5"/>
  <c r="O31" i="5"/>
  <c r="AL7" i="30"/>
  <c r="AW7" i="30" s="1"/>
  <c r="AM7" i="30"/>
  <c r="AN7" i="30"/>
  <c r="AL8" i="30"/>
  <c r="AM8" i="30"/>
  <c r="AN8" i="30"/>
  <c r="AL9" i="30"/>
  <c r="AN9" i="30"/>
  <c r="AY9" i="30" s="1"/>
  <c r="AL10" i="30"/>
  <c r="AM10" i="30"/>
  <c r="AN10" i="30"/>
  <c r="AL11" i="30"/>
  <c r="AM11" i="30"/>
  <c r="AN11" i="30"/>
  <c r="AL12" i="30"/>
  <c r="AW12" i="30" s="1"/>
  <c r="AM12" i="30"/>
  <c r="AX12" i="30" s="1"/>
  <c r="AN12" i="30"/>
  <c r="AL13" i="30"/>
  <c r="AM13" i="30"/>
  <c r="AN13" i="30"/>
  <c r="AL14" i="30"/>
  <c r="AM14" i="30"/>
  <c r="AN14" i="30"/>
  <c r="AY14" i="30" s="1"/>
  <c r="AL15" i="30"/>
  <c r="AW15" i="30" s="1"/>
  <c r="AM15" i="30"/>
  <c r="AN15" i="30"/>
  <c r="AL16" i="30"/>
  <c r="AM16" i="30"/>
  <c r="AN16" i="30"/>
  <c r="AL17" i="30"/>
  <c r="AM17" i="30"/>
  <c r="AX17" i="30" s="1"/>
  <c r="AN17" i="30"/>
  <c r="AY17" i="30" s="1"/>
  <c r="AL18" i="30"/>
  <c r="AN18" i="30"/>
  <c r="AL19" i="30"/>
  <c r="AM19" i="30"/>
  <c r="AX19" i="30" s="1"/>
  <c r="AL20" i="30"/>
  <c r="AN20" i="30"/>
  <c r="AY20" i="30" s="1"/>
  <c r="AL21" i="30"/>
  <c r="AN21" i="30"/>
  <c r="AL22" i="30"/>
  <c r="AM22" i="30"/>
  <c r="AL28" i="30"/>
  <c r="AM28" i="30"/>
  <c r="AL25" i="30"/>
  <c r="AW25" i="30" s="1"/>
  <c r="AM25" i="30"/>
  <c r="AL29" i="30"/>
  <c r="AM29" i="30"/>
  <c r="AL23" i="30"/>
  <c r="AM23" i="30"/>
  <c r="AX23" i="30" s="1"/>
  <c r="AL30" i="30"/>
  <c r="AM30" i="30"/>
  <c r="AX30" i="30" s="1"/>
  <c r="AN30" i="30"/>
  <c r="AL31" i="30"/>
  <c r="AM31" i="30"/>
  <c r="AL32" i="30"/>
  <c r="AM32" i="30"/>
  <c r="AN32" i="30"/>
  <c r="AY32" i="30" s="1"/>
  <c r="AN6" i="30"/>
  <c r="AM6" i="30"/>
  <c r="AX6" i="30" s="1"/>
  <c r="AL6" i="30"/>
  <c r="T34" i="30"/>
  <c r="O74" i="29"/>
  <c r="O73" i="29"/>
  <c r="O72" i="29"/>
  <c r="O71" i="29"/>
  <c r="O70" i="29"/>
  <c r="O69" i="29"/>
  <c r="O68" i="29"/>
  <c r="O67" i="29"/>
  <c r="O75" i="29" s="1"/>
  <c r="O59" i="29"/>
  <c r="O58" i="29"/>
  <c r="O57" i="29"/>
  <c r="O56" i="29"/>
  <c r="O54" i="29"/>
  <c r="O52" i="29"/>
  <c r="O50" i="29"/>
  <c r="O49" i="29"/>
  <c r="O45" i="29"/>
  <c r="O44" i="29"/>
  <c r="O41" i="29"/>
  <c r="O39" i="29"/>
  <c r="O35" i="29"/>
  <c r="O34" i="29"/>
  <c r="O17" i="29"/>
  <c r="O16" i="29"/>
  <c r="N10" i="29"/>
  <c r="M10" i="29"/>
  <c r="L10" i="29"/>
  <c r="K10" i="29"/>
  <c r="J10" i="29"/>
  <c r="I10" i="29"/>
  <c r="H10" i="29"/>
  <c r="G10" i="29"/>
  <c r="F10" i="29"/>
  <c r="E10" i="29"/>
  <c r="D10" i="29"/>
  <c r="C10" i="29"/>
  <c r="N60" i="28"/>
  <c r="M60" i="28"/>
  <c r="L60" i="28"/>
  <c r="K60" i="28"/>
  <c r="J60" i="28"/>
  <c r="I60" i="28"/>
  <c r="H60" i="28"/>
  <c r="G60" i="28"/>
  <c r="F60" i="28"/>
  <c r="E60" i="28"/>
  <c r="D60" i="28"/>
  <c r="C60" i="28"/>
  <c r="N49" i="28"/>
  <c r="M49" i="28"/>
  <c r="L49" i="28"/>
  <c r="L51" i="28" s="1"/>
  <c r="L62" i="28" s="1"/>
  <c r="L64" i="28" s="1"/>
  <c r="K49" i="28"/>
  <c r="J49" i="28"/>
  <c r="I49" i="28"/>
  <c r="H49" i="28"/>
  <c r="H51" i="28" s="1"/>
  <c r="H62" i="28" s="1"/>
  <c r="H64" i="28" s="1"/>
  <c r="G49" i="28"/>
  <c r="F49" i="28"/>
  <c r="E49" i="28"/>
  <c r="D49" i="28"/>
  <c r="D51" i="28" s="1"/>
  <c r="D62" i="28" s="1"/>
  <c r="D64" i="28" s="1"/>
  <c r="C49" i="28"/>
  <c r="N44" i="28"/>
  <c r="M44" i="28"/>
  <c r="M51" i="28"/>
  <c r="M62" i="28" s="1"/>
  <c r="L44" i="28"/>
  <c r="K44" i="28"/>
  <c r="J44" i="28"/>
  <c r="J51" i="28" s="1"/>
  <c r="J62" i="28" s="1"/>
  <c r="J64" i="28" s="1"/>
  <c r="I44" i="28"/>
  <c r="H44" i="28"/>
  <c r="G44" i="28"/>
  <c r="F44" i="28"/>
  <c r="E44" i="28"/>
  <c r="D44" i="28"/>
  <c r="C44" i="28"/>
  <c r="C51" i="28"/>
  <c r="C62" i="28" s="1"/>
  <c r="C64" i="28" s="1"/>
  <c r="D62" i="29"/>
  <c r="D64" i="29"/>
  <c r="L62" i="29"/>
  <c r="L64" i="29"/>
  <c r="N62" i="29"/>
  <c r="N64" i="29"/>
  <c r="K62" i="29"/>
  <c r="K64" i="29" s="1"/>
  <c r="M62" i="29"/>
  <c r="M64" i="29" s="1"/>
  <c r="F62" i="29"/>
  <c r="F64" i="29"/>
  <c r="J62" i="29"/>
  <c r="J64" i="29"/>
  <c r="H62" i="29"/>
  <c r="H64" i="29"/>
  <c r="G62" i="29"/>
  <c r="G64" i="29"/>
  <c r="O60" i="29"/>
  <c r="I51" i="28"/>
  <c r="I62" i="28" s="1"/>
  <c r="E51" i="28"/>
  <c r="E62" i="28" s="1"/>
  <c r="G51" i="28"/>
  <c r="G62" i="28" s="1"/>
  <c r="G64" i="28" s="1"/>
  <c r="K51" i="28"/>
  <c r="K62" i="28" s="1"/>
  <c r="K64" i="28" s="1"/>
  <c r="F51" i="28"/>
  <c r="F62" i="28" s="1"/>
  <c r="F64" i="28" s="1"/>
  <c r="N51" i="28"/>
  <c r="N62" i="28" s="1"/>
  <c r="N64" i="28" s="1"/>
  <c r="E64" i="28"/>
  <c r="C62" i="29"/>
  <c r="C64" i="29" s="1"/>
  <c r="N60" i="27"/>
  <c r="N62" i="27" s="1"/>
  <c r="M60" i="27"/>
  <c r="L60" i="27"/>
  <c r="K60" i="27"/>
  <c r="J60" i="27"/>
  <c r="I60" i="27"/>
  <c r="H60" i="27"/>
  <c r="G60" i="27"/>
  <c r="F60" i="27"/>
  <c r="E60" i="27"/>
  <c r="D60" i="27"/>
  <c r="C60" i="27"/>
  <c r="O59" i="27"/>
  <c r="O57" i="27"/>
  <c r="O56" i="27"/>
  <c r="O55" i="27"/>
  <c r="O54" i="27"/>
  <c r="O60" i="27" s="1"/>
  <c r="N49" i="27"/>
  <c r="M49" i="27"/>
  <c r="M51" i="27" s="1"/>
  <c r="M62" i="27" s="1"/>
  <c r="L49" i="27"/>
  <c r="K49" i="27"/>
  <c r="J49" i="27"/>
  <c r="I49" i="27"/>
  <c r="I51" i="27" s="1"/>
  <c r="I62" i="27" s="1"/>
  <c r="H49" i="27"/>
  <c r="G49" i="27"/>
  <c r="G51" i="27" s="1"/>
  <c r="F49" i="27"/>
  <c r="E49" i="27"/>
  <c r="E51" i="27" s="1"/>
  <c r="E62" i="27" s="1"/>
  <c r="D49" i="27"/>
  <c r="C49" i="27"/>
  <c r="C51" i="27" s="1"/>
  <c r="O48" i="27"/>
  <c r="O47" i="27"/>
  <c r="N44" i="27"/>
  <c r="M44" i="27"/>
  <c r="L44" i="27"/>
  <c r="L51" i="27"/>
  <c r="L62" i="27" s="1"/>
  <c r="K44" i="27"/>
  <c r="J44" i="27"/>
  <c r="J51" i="27"/>
  <c r="J62" i="27" s="1"/>
  <c r="I44" i="27"/>
  <c r="H44" i="27"/>
  <c r="H51" i="27" s="1"/>
  <c r="H62" i="27" s="1"/>
  <c r="G44" i="27"/>
  <c r="F44" i="27"/>
  <c r="F51" i="27"/>
  <c r="F62" i="27" s="1"/>
  <c r="E44" i="27"/>
  <c r="D44" i="27"/>
  <c r="D51" i="27"/>
  <c r="D62" i="27" s="1"/>
  <c r="C44" i="27"/>
  <c r="O43" i="27"/>
  <c r="O44" i="27"/>
  <c r="O49" i="27"/>
  <c r="C62" i="27"/>
  <c r="G62" i="27"/>
  <c r="O51" i="27"/>
  <c r="O62" i="27" s="1"/>
  <c r="N51" i="27"/>
  <c r="O57" i="19"/>
  <c r="O57" i="17"/>
  <c r="O29" i="6"/>
  <c r="O29" i="20"/>
  <c r="O29" i="13"/>
  <c r="O29" i="5"/>
  <c r="N60" i="26"/>
  <c r="M60" i="26"/>
  <c r="L60" i="26"/>
  <c r="K60" i="26"/>
  <c r="J60" i="26"/>
  <c r="I60" i="26"/>
  <c r="H60" i="26"/>
  <c r="G60" i="26"/>
  <c r="F60" i="26"/>
  <c r="E60" i="26"/>
  <c r="D60" i="26"/>
  <c r="C60" i="26"/>
  <c r="N49" i="26"/>
  <c r="N51" i="26" s="1"/>
  <c r="N62" i="26" s="1"/>
  <c r="N64" i="26" s="1"/>
  <c r="M49" i="26"/>
  <c r="L49" i="26"/>
  <c r="L51" i="26" s="1"/>
  <c r="L62" i="26" s="1"/>
  <c r="K49" i="26"/>
  <c r="J49" i="26"/>
  <c r="J51" i="26" s="1"/>
  <c r="J62" i="26" s="1"/>
  <c r="I49" i="26"/>
  <c r="H49" i="26"/>
  <c r="H51" i="26" s="1"/>
  <c r="H62" i="26" s="1"/>
  <c r="G49" i="26"/>
  <c r="F49" i="26"/>
  <c r="F51" i="26" s="1"/>
  <c r="E49" i="26"/>
  <c r="D49" i="26"/>
  <c r="D51" i="26" s="1"/>
  <c r="D62" i="26" s="1"/>
  <c r="C49" i="26"/>
  <c r="N44" i="26"/>
  <c r="M44" i="26"/>
  <c r="L44" i="26"/>
  <c r="K44" i="26"/>
  <c r="J44" i="26"/>
  <c r="I44" i="26"/>
  <c r="H44" i="26"/>
  <c r="G44" i="26"/>
  <c r="F44" i="26"/>
  <c r="E44" i="26"/>
  <c r="D44" i="26"/>
  <c r="C44" i="26"/>
  <c r="F62" i="26"/>
  <c r="C51" i="26"/>
  <c r="C62" i="26"/>
  <c r="E51" i="26"/>
  <c r="E62" i="26"/>
  <c r="G51" i="26"/>
  <c r="G62" i="26"/>
  <c r="K51" i="26"/>
  <c r="K62" i="26"/>
  <c r="M51" i="26"/>
  <c r="M62" i="26"/>
  <c r="R57" i="25"/>
  <c r="X57" i="25" s="1"/>
  <c r="X54" i="25"/>
  <c r="W53" i="25"/>
  <c r="W60" i="25" s="1"/>
  <c r="W62" i="25" s="1"/>
  <c r="V53" i="25"/>
  <c r="U53" i="25"/>
  <c r="T53" i="25"/>
  <c r="S53" i="25"/>
  <c r="S60" i="25" s="1"/>
  <c r="S62" i="25" s="1"/>
  <c r="Q53" i="25"/>
  <c r="Q60" i="25" s="1"/>
  <c r="Q62" i="25" s="1"/>
  <c r="W48" i="25"/>
  <c r="V48" i="25"/>
  <c r="U48" i="25"/>
  <c r="U60" i="25" s="1"/>
  <c r="T48" i="25"/>
  <c r="S48" i="25"/>
  <c r="Q48" i="25"/>
  <c r="R48" i="25" s="1"/>
  <c r="Q43" i="25"/>
  <c r="R43" i="25" s="1"/>
  <c r="X43" i="25" s="1"/>
  <c r="Q38" i="25"/>
  <c r="R38" i="25" s="1"/>
  <c r="X38" i="25" s="1"/>
  <c r="Q33" i="25"/>
  <c r="Q21" i="25"/>
  <c r="Q15" i="25"/>
  <c r="R15" i="25" s="1"/>
  <c r="X15" i="25" s="1"/>
  <c r="W10" i="25"/>
  <c r="V10" i="25"/>
  <c r="U10" i="25"/>
  <c r="T10" i="25"/>
  <c r="S10" i="25"/>
  <c r="Q10" i="25"/>
  <c r="R19" i="25"/>
  <c r="X19" i="25" s="1"/>
  <c r="R20" i="25"/>
  <c r="X20" i="25" s="1"/>
  <c r="R34" i="25"/>
  <c r="R35" i="25"/>
  <c r="R37" i="25"/>
  <c r="X37" i="25" s="1"/>
  <c r="R44" i="25"/>
  <c r="R49" i="25"/>
  <c r="X49" i="25" s="1"/>
  <c r="R51" i="25"/>
  <c r="X51" i="25" s="1"/>
  <c r="R13" i="25"/>
  <c r="X13" i="25" s="1"/>
  <c r="R16" i="25"/>
  <c r="R17" i="25"/>
  <c r="R45" i="25"/>
  <c r="R47" i="25"/>
  <c r="X47" i="25" s="1"/>
  <c r="R22" i="25"/>
  <c r="R23" i="25"/>
  <c r="R25" i="25"/>
  <c r="R26" i="25"/>
  <c r="R27" i="25"/>
  <c r="R28" i="25"/>
  <c r="R39" i="25"/>
  <c r="R41" i="25"/>
  <c r="R50" i="25"/>
  <c r="X50" i="25" s="1"/>
  <c r="R55" i="25"/>
  <c r="X55" i="25" s="1"/>
  <c r="R56" i="25"/>
  <c r="X56" i="25" s="1"/>
  <c r="R14" i="25"/>
  <c r="X14" i="25" s="1"/>
  <c r="R8" i="25"/>
  <c r="O54" i="20"/>
  <c r="O54" i="11"/>
  <c r="O54" i="12"/>
  <c r="O54" i="13"/>
  <c r="O54" i="16"/>
  <c r="O54" i="18"/>
  <c r="O54" i="21"/>
  <c r="N4" i="22"/>
  <c r="M4" i="22"/>
  <c r="L4" i="22"/>
  <c r="K4" i="22"/>
  <c r="J4" i="22"/>
  <c r="I4" i="22"/>
  <c r="H4" i="22"/>
  <c r="G4" i="22"/>
  <c r="F4" i="22"/>
  <c r="E4" i="22"/>
  <c r="D4" i="22"/>
  <c r="C4" i="22"/>
  <c r="M39" i="10"/>
  <c r="N39" i="10"/>
  <c r="Q30" i="10"/>
  <c r="Q29" i="10"/>
  <c r="Q28" i="10"/>
  <c r="Q27" i="10"/>
  <c r="Q26" i="10"/>
  <c r="N31" i="10"/>
  <c r="O56" i="14"/>
  <c r="I39" i="10"/>
  <c r="J39" i="10"/>
  <c r="K39" i="10"/>
  <c r="L39" i="10"/>
  <c r="O74" i="21"/>
  <c r="O73" i="21"/>
  <c r="O72" i="21"/>
  <c r="O71" i="21"/>
  <c r="O70" i="21"/>
  <c r="O69" i="21"/>
  <c r="O68" i="21"/>
  <c r="O75" i="21" s="1"/>
  <c r="O67" i="21"/>
  <c r="O59" i="21"/>
  <c r="O58" i="21"/>
  <c r="O57" i="21"/>
  <c r="O56" i="21"/>
  <c r="O52" i="21"/>
  <c r="O50" i="21"/>
  <c r="O49" i="21"/>
  <c r="O45" i="21"/>
  <c r="O44" i="21"/>
  <c r="O41" i="21"/>
  <c r="O39" i="21"/>
  <c r="O35" i="21"/>
  <c r="O34" i="21"/>
  <c r="O17" i="21"/>
  <c r="O16" i="21"/>
  <c r="N10" i="21"/>
  <c r="M10" i="21"/>
  <c r="L10" i="21"/>
  <c r="K10" i="21"/>
  <c r="J10" i="21"/>
  <c r="I10" i="21"/>
  <c r="H10" i="21"/>
  <c r="G10" i="21"/>
  <c r="F10" i="21"/>
  <c r="E10" i="21"/>
  <c r="D10" i="21"/>
  <c r="C10" i="21"/>
  <c r="M55" i="20"/>
  <c r="K55" i="20"/>
  <c r="I55" i="20"/>
  <c r="I62" i="20" s="1"/>
  <c r="G55" i="20"/>
  <c r="E55" i="20"/>
  <c r="O74" i="20"/>
  <c r="O73" i="20"/>
  <c r="O72" i="20"/>
  <c r="O71" i="20"/>
  <c r="O70" i="20"/>
  <c r="O69" i="20"/>
  <c r="O68" i="20"/>
  <c r="O67" i="20"/>
  <c r="N55" i="20"/>
  <c r="L55" i="20"/>
  <c r="J55" i="20"/>
  <c r="H55" i="20"/>
  <c r="F55" i="20"/>
  <c r="D55" i="20"/>
  <c r="O59" i="20"/>
  <c r="O58" i="20"/>
  <c r="O57" i="20"/>
  <c r="O56" i="20"/>
  <c r="O52" i="20"/>
  <c r="O50" i="20"/>
  <c r="O49" i="20"/>
  <c r="N48" i="20"/>
  <c r="N62" i="20" s="1"/>
  <c r="N64" i="20" s="1"/>
  <c r="M48" i="20"/>
  <c r="L48" i="20"/>
  <c r="K48" i="20"/>
  <c r="J48" i="20"/>
  <c r="J62" i="20" s="1"/>
  <c r="J64" i="20" s="1"/>
  <c r="I48" i="20"/>
  <c r="H48" i="20"/>
  <c r="G48" i="20"/>
  <c r="F48" i="20"/>
  <c r="F62" i="20" s="1"/>
  <c r="E48" i="20"/>
  <c r="D48" i="20"/>
  <c r="C48" i="20"/>
  <c r="O47" i="20"/>
  <c r="O45" i="20"/>
  <c r="O44" i="20"/>
  <c r="N43" i="20"/>
  <c r="M43" i="20"/>
  <c r="L43" i="20"/>
  <c r="K43" i="20"/>
  <c r="K62" i="20" s="1"/>
  <c r="J43" i="20"/>
  <c r="I43" i="20"/>
  <c r="H43" i="20"/>
  <c r="G43" i="20"/>
  <c r="G62" i="20" s="1"/>
  <c r="F43" i="20"/>
  <c r="E43" i="20"/>
  <c r="D43" i="20"/>
  <c r="C43" i="20"/>
  <c r="O43" i="20" s="1"/>
  <c r="O41" i="20"/>
  <c r="O39" i="20"/>
  <c r="N38" i="20"/>
  <c r="M38" i="20"/>
  <c r="L38" i="20"/>
  <c r="K38" i="20"/>
  <c r="J38" i="20"/>
  <c r="I38" i="20"/>
  <c r="H38" i="20"/>
  <c r="G38" i="20"/>
  <c r="F38" i="20"/>
  <c r="E38" i="20"/>
  <c r="D38" i="20"/>
  <c r="O38" i="20" s="1"/>
  <c r="C38" i="20"/>
  <c r="O37" i="20"/>
  <c r="O35" i="20"/>
  <c r="O34" i="20"/>
  <c r="N33" i="20"/>
  <c r="M33" i="20"/>
  <c r="L33" i="20"/>
  <c r="K33" i="20"/>
  <c r="J33" i="20"/>
  <c r="I33" i="20"/>
  <c r="H33" i="20"/>
  <c r="G33" i="20"/>
  <c r="F33" i="20"/>
  <c r="E33" i="20"/>
  <c r="D33" i="20"/>
  <c r="C33" i="20"/>
  <c r="O33" i="20" s="1"/>
  <c r="O28" i="20"/>
  <c r="O27" i="20"/>
  <c r="O26" i="20"/>
  <c r="O25" i="20"/>
  <c r="O23" i="20"/>
  <c r="O22" i="20"/>
  <c r="O19" i="20"/>
  <c r="O17" i="20"/>
  <c r="O16" i="20"/>
  <c r="N15" i="20"/>
  <c r="M15" i="20"/>
  <c r="L15" i="20"/>
  <c r="K15" i="20"/>
  <c r="J15" i="20"/>
  <c r="I15" i="20"/>
  <c r="H15" i="20"/>
  <c r="G15" i="20"/>
  <c r="F15" i="20"/>
  <c r="E15" i="20"/>
  <c r="D15" i="20"/>
  <c r="C15" i="20"/>
  <c r="O14" i="20"/>
  <c r="O13" i="20"/>
  <c r="N10" i="20"/>
  <c r="M10" i="20"/>
  <c r="L10" i="20"/>
  <c r="K10" i="20"/>
  <c r="J10" i="20"/>
  <c r="I10" i="20"/>
  <c r="H10" i="20"/>
  <c r="G10" i="20"/>
  <c r="F10" i="20"/>
  <c r="E10" i="20"/>
  <c r="D10" i="20"/>
  <c r="C10" i="20"/>
  <c r="O9" i="20"/>
  <c r="O8" i="20"/>
  <c r="O10" i="20"/>
  <c r="N60" i="19"/>
  <c r="M60" i="19"/>
  <c r="L60" i="19"/>
  <c r="K60" i="19"/>
  <c r="J60" i="19"/>
  <c r="I60" i="19"/>
  <c r="H60" i="19"/>
  <c r="G60" i="19"/>
  <c r="F60" i="19"/>
  <c r="E60" i="19"/>
  <c r="D60" i="19"/>
  <c r="C60" i="19"/>
  <c r="O59" i="19"/>
  <c r="O56" i="19"/>
  <c r="O55" i="19"/>
  <c r="O54" i="19"/>
  <c r="N49" i="19"/>
  <c r="M49" i="19"/>
  <c r="L49" i="19"/>
  <c r="K49" i="19"/>
  <c r="J49" i="19"/>
  <c r="J51" i="19" s="1"/>
  <c r="J62" i="19" s="1"/>
  <c r="J64" i="19" s="1"/>
  <c r="I49" i="19"/>
  <c r="H49" i="19"/>
  <c r="G49" i="19"/>
  <c r="F49" i="19"/>
  <c r="E49" i="19"/>
  <c r="D49" i="19"/>
  <c r="C49" i="19"/>
  <c r="O48" i="19"/>
  <c r="O49" i="19" s="1"/>
  <c r="O47" i="19"/>
  <c r="N44" i="19"/>
  <c r="M44" i="19"/>
  <c r="L44" i="19"/>
  <c r="K44" i="19"/>
  <c r="J44" i="19"/>
  <c r="I44" i="19"/>
  <c r="H44" i="19"/>
  <c r="G44" i="19"/>
  <c r="F44" i="19"/>
  <c r="E44" i="19"/>
  <c r="D44" i="19"/>
  <c r="C44" i="19"/>
  <c r="O43" i="19"/>
  <c r="O44" i="19" s="1"/>
  <c r="N38" i="19"/>
  <c r="N40" i="19" s="1"/>
  <c r="M38" i="19"/>
  <c r="L38" i="19"/>
  <c r="L40" i="19" s="1"/>
  <c r="L51" i="19" s="1"/>
  <c r="L62" i="19" s="1"/>
  <c r="L64" i="19" s="1"/>
  <c r="K38" i="19"/>
  <c r="J38" i="19"/>
  <c r="J40" i="19" s="1"/>
  <c r="I38" i="19"/>
  <c r="H38" i="19"/>
  <c r="G38" i="19"/>
  <c r="F38" i="19"/>
  <c r="F40" i="19" s="1"/>
  <c r="E38" i="19"/>
  <c r="D38" i="19"/>
  <c r="D40" i="19" s="1"/>
  <c r="C38" i="19"/>
  <c r="O37" i="19"/>
  <c r="O36" i="19"/>
  <c r="O35" i="19"/>
  <c r="O38" i="19" s="1"/>
  <c r="N32" i="19"/>
  <c r="M32" i="19"/>
  <c r="M40" i="19" s="1"/>
  <c r="L32" i="19"/>
  <c r="K32" i="19"/>
  <c r="K40" i="19" s="1"/>
  <c r="K51" i="19" s="1"/>
  <c r="K62" i="19" s="1"/>
  <c r="K64" i="19" s="1"/>
  <c r="J32" i="19"/>
  <c r="I32" i="19"/>
  <c r="I40" i="19" s="1"/>
  <c r="H32" i="19"/>
  <c r="G32" i="19"/>
  <c r="F32" i="19"/>
  <c r="E32" i="19"/>
  <c r="E40" i="19" s="1"/>
  <c r="D32" i="19"/>
  <c r="C32" i="19"/>
  <c r="C40" i="19" s="1"/>
  <c r="C51" i="19" s="1"/>
  <c r="C62" i="19" s="1"/>
  <c r="C64" i="19" s="1"/>
  <c r="O31" i="19"/>
  <c r="O32" i="19"/>
  <c r="O26" i="19"/>
  <c r="O28" i="19"/>
  <c r="N16" i="19"/>
  <c r="M16" i="19"/>
  <c r="L16" i="19"/>
  <c r="K16" i="19"/>
  <c r="J16" i="19"/>
  <c r="I16" i="19"/>
  <c r="H16" i="19"/>
  <c r="G16" i="19"/>
  <c r="F16" i="19"/>
  <c r="E16" i="19"/>
  <c r="D16" i="19"/>
  <c r="C16" i="19"/>
  <c r="O15" i="19"/>
  <c r="O14" i="19"/>
  <c r="O13" i="19"/>
  <c r="O12" i="19"/>
  <c r="O11" i="19"/>
  <c r="O10" i="19"/>
  <c r="O15" i="20"/>
  <c r="O75" i="20"/>
  <c r="H40" i="19"/>
  <c r="O21" i="20"/>
  <c r="O48" i="20"/>
  <c r="F64" i="20"/>
  <c r="K62" i="21"/>
  <c r="K64" i="21"/>
  <c r="G40" i="19"/>
  <c r="G51" i="19" s="1"/>
  <c r="G62" i="19" s="1"/>
  <c r="G64" i="19" s="1"/>
  <c r="I51" i="19"/>
  <c r="I62" i="19" s="1"/>
  <c r="N51" i="19"/>
  <c r="N62" i="19" s="1"/>
  <c r="D62" i="20"/>
  <c r="D64" i="20" s="1"/>
  <c r="H62" i="20"/>
  <c r="H64" i="20" s="1"/>
  <c r="L62" i="20"/>
  <c r="L64" i="20" s="1"/>
  <c r="G64" i="20"/>
  <c r="I64" i="20"/>
  <c r="K64" i="20"/>
  <c r="E62" i="21"/>
  <c r="E64" i="21"/>
  <c r="I62" i="21"/>
  <c r="I64" i="21"/>
  <c r="M62" i="21"/>
  <c r="M64" i="21"/>
  <c r="D62" i="21"/>
  <c r="D64" i="21"/>
  <c r="F64" i="21"/>
  <c r="H62" i="21"/>
  <c r="H64" i="21"/>
  <c r="J64" i="21"/>
  <c r="L62" i="21"/>
  <c r="L64" i="21"/>
  <c r="N64" i="21"/>
  <c r="F51" i="19"/>
  <c r="F62" i="19" s="1"/>
  <c r="F64" i="19" s="1"/>
  <c r="O60" i="19"/>
  <c r="G62" i="21"/>
  <c r="G64" i="21"/>
  <c r="C64" i="21"/>
  <c r="O60" i="21"/>
  <c r="C55" i="20"/>
  <c r="O55" i="20" s="1"/>
  <c r="O62" i="20" s="1"/>
  <c r="O64" i="20" s="1"/>
  <c r="O60" i="20"/>
  <c r="E51" i="19"/>
  <c r="E62" i="19" s="1"/>
  <c r="M51" i="19"/>
  <c r="M62" i="19" s="1"/>
  <c r="I64" i="19"/>
  <c r="C62" i="20"/>
  <c r="C64" i="20" s="1"/>
  <c r="O74" i="18"/>
  <c r="O73" i="18"/>
  <c r="O72" i="18"/>
  <c r="O71" i="18"/>
  <c r="O70" i="18"/>
  <c r="O69" i="18"/>
  <c r="O68" i="18"/>
  <c r="O75" i="18" s="1"/>
  <c r="O67" i="18"/>
  <c r="O59" i="18"/>
  <c r="O58" i="18"/>
  <c r="O57" i="18"/>
  <c r="O56" i="18"/>
  <c r="O52" i="18"/>
  <c r="O50" i="18"/>
  <c r="O49" i="18"/>
  <c r="O45" i="18"/>
  <c r="O44" i="18"/>
  <c r="O41" i="18"/>
  <c r="O39" i="18"/>
  <c r="O35" i="18"/>
  <c r="O34" i="18"/>
  <c r="O17" i="18"/>
  <c r="O16" i="18"/>
  <c r="N10" i="18"/>
  <c r="M10" i="18"/>
  <c r="L10" i="18"/>
  <c r="L64" i="18" s="1"/>
  <c r="K10" i="18"/>
  <c r="J10" i="18"/>
  <c r="I10" i="18"/>
  <c r="H10" i="18"/>
  <c r="G10" i="18"/>
  <c r="F10" i="18"/>
  <c r="E10" i="18"/>
  <c r="D10" i="18"/>
  <c r="D64" i="18" s="1"/>
  <c r="C10" i="18"/>
  <c r="G39" i="10"/>
  <c r="H39" i="10"/>
  <c r="P21" i="10"/>
  <c r="P22" i="10"/>
  <c r="P20" i="10"/>
  <c r="N62" i="18"/>
  <c r="N64" i="18" s="1"/>
  <c r="H62" i="18"/>
  <c r="AN19" i="30"/>
  <c r="M62" i="18"/>
  <c r="M64" i="18"/>
  <c r="M64" i="26" s="1"/>
  <c r="K62" i="18"/>
  <c r="K64" i="18" s="1"/>
  <c r="J62" i="18"/>
  <c r="I62" i="18"/>
  <c r="I64" i="18"/>
  <c r="F62" i="18"/>
  <c r="E62" i="18"/>
  <c r="E64" i="18"/>
  <c r="E64" i="26" s="1"/>
  <c r="G62" i="18"/>
  <c r="G64" i="18" s="1"/>
  <c r="G64" i="26"/>
  <c r="O60" i="18"/>
  <c r="G10" i="10"/>
  <c r="G22" i="10" s="1"/>
  <c r="H10" i="10" s="1"/>
  <c r="C62" i="18"/>
  <c r="C64" i="18" s="1"/>
  <c r="B15" i="10"/>
  <c r="B14" i="10"/>
  <c r="B20" i="10" s="1"/>
  <c r="B39" i="10"/>
  <c r="B31" i="10"/>
  <c r="B21" i="10"/>
  <c r="C9" i="10" s="1"/>
  <c r="C15" i="10" s="1"/>
  <c r="B11" i="10"/>
  <c r="AF20" i="30"/>
  <c r="B17" i="10"/>
  <c r="N60" i="17"/>
  <c r="M60" i="17"/>
  <c r="L60" i="17"/>
  <c r="K60" i="17"/>
  <c r="J60" i="17"/>
  <c r="I60" i="17"/>
  <c r="H60" i="17"/>
  <c r="G60" i="17"/>
  <c r="F60" i="17"/>
  <c r="D60" i="17"/>
  <c r="C60" i="17"/>
  <c r="E60" i="17"/>
  <c r="O56" i="17"/>
  <c r="O55" i="17"/>
  <c r="O60" i="17" s="1"/>
  <c r="O54" i="17"/>
  <c r="N49" i="17"/>
  <c r="N51" i="17" s="1"/>
  <c r="N62" i="17" s="1"/>
  <c r="M49" i="17"/>
  <c r="L49" i="17"/>
  <c r="K49" i="17"/>
  <c r="J49" i="17"/>
  <c r="I49" i="17"/>
  <c r="H49" i="17"/>
  <c r="G49" i="17"/>
  <c r="F49" i="17"/>
  <c r="F51" i="17" s="1"/>
  <c r="F62" i="17" s="1"/>
  <c r="D49" i="17"/>
  <c r="O48" i="17"/>
  <c r="O49" i="17" s="1"/>
  <c r="E49" i="17"/>
  <c r="C49" i="17"/>
  <c r="N44" i="17"/>
  <c r="M44" i="17"/>
  <c r="L44" i="17"/>
  <c r="K44" i="17"/>
  <c r="K51" i="17" s="1"/>
  <c r="K62" i="17" s="1"/>
  <c r="J44" i="17"/>
  <c r="I44" i="17"/>
  <c r="H44" i="17"/>
  <c r="G44" i="17"/>
  <c r="G51" i="17" s="1"/>
  <c r="G62" i="17" s="1"/>
  <c r="F44" i="17"/>
  <c r="E44" i="17"/>
  <c r="D44" i="17"/>
  <c r="C44" i="17"/>
  <c r="O43" i="17"/>
  <c r="O44" i="17"/>
  <c r="N38" i="17"/>
  <c r="M38" i="17"/>
  <c r="M40" i="17" s="1"/>
  <c r="L38" i="17"/>
  <c r="K38" i="17"/>
  <c r="K40" i="17" s="1"/>
  <c r="J38" i="17"/>
  <c r="I38" i="17"/>
  <c r="I40" i="17" s="1"/>
  <c r="H38" i="17"/>
  <c r="G38" i="17"/>
  <c r="G40" i="17" s="1"/>
  <c r="F38" i="17"/>
  <c r="E38" i="17"/>
  <c r="E40" i="17" s="1"/>
  <c r="D38" i="17"/>
  <c r="C38" i="17"/>
  <c r="O37" i="17"/>
  <c r="O36" i="17"/>
  <c r="O38" i="17" s="1"/>
  <c r="O35" i="17"/>
  <c r="N32" i="17"/>
  <c r="M32" i="17"/>
  <c r="L32" i="17"/>
  <c r="L40" i="17" s="1"/>
  <c r="K32" i="17"/>
  <c r="J32" i="17"/>
  <c r="I32" i="17"/>
  <c r="H32" i="17"/>
  <c r="H40" i="17" s="1"/>
  <c r="G32" i="17"/>
  <c r="F32" i="17"/>
  <c r="E32" i="17"/>
  <c r="C32" i="17"/>
  <c r="D32" i="17"/>
  <c r="O26" i="17"/>
  <c r="O28" i="17" s="1"/>
  <c r="N16" i="17"/>
  <c r="M16" i="17"/>
  <c r="L16" i="17"/>
  <c r="K16" i="17"/>
  <c r="J16" i="17"/>
  <c r="I16" i="17"/>
  <c r="H16" i="17"/>
  <c r="G16" i="17"/>
  <c r="F16" i="17"/>
  <c r="E16" i="17"/>
  <c r="D16" i="17"/>
  <c r="D40" i="17" s="1"/>
  <c r="C16" i="17"/>
  <c r="O15" i="17"/>
  <c r="O14" i="17"/>
  <c r="O13" i="17"/>
  <c r="O16" i="17" s="1"/>
  <c r="O12" i="17"/>
  <c r="O11" i="17"/>
  <c r="O10" i="17"/>
  <c r="D39" i="10"/>
  <c r="E39" i="10"/>
  <c r="F39" i="10"/>
  <c r="C39" i="10"/>
  <c r="D51" i="17"/>
  <c r="D62" i="17" s="1"/>
  <c r="F40" i="17"/>
  <c r="J40" i="17"/>
  <c r="N40" i="17"/>
  <c r="AM20" i="30"/>
  <c r="AX20" i="30" s="1"/>
  <c r="O59" i="17"/>
  <c r="O31" i="17"/>
  <c r="O32" i="17"/>
  <c r="O47" i="17"/>
  <c r="O40" i="17"/>
  <c r="M31" i="10"/>
  <c r="L31" i="10"/>
  <c r="O74" i="16"/>
  <c r="O73" i="16"/>
  <c r="O72" i="16"/>
  <c r="O71" i="16"/>
  <c r="O70" i="16"/>
  <c r="O75" i="16" s="1"/>
  <c r="O69" i="16"/>
  <c r="O68" i="16"/>
  <c r="O67" i="16"/>
  <c r="O59" i="16"/>
  <c r="O58" i="16"/>
  <c r="O57" i="16"/>
  <c r="O56" i="16"/>
  <c r="O52" i="16"/>
  <c r="O50" i="16"/>
  <c r="O49" i="16"/>
  <c r="O45" i="16"/>
  <c r="O44" i="16"/>
  <c r="O41" i="16"/>
  <c r="O39" i="16"/>
  <c r="O35" i="16"/>
  <c r="O34" i="16"/>
  <c r="O17" i="16"/>
  <c r="O16" i="16"/>
  <c r="N10" i="16"/>
  <c r="M10" i="16"/>
  <c r="M64" i="16" s="1"/>
  <c r="L10" i="16"/>
  <c r="K10" i="16"/>
  <c r="J10" i="16"/>
  <c r="I10" i="16"/>
  <c r="H10" i="16"/>
  <c r="G10" i="16"/>
  <c r="F10" i="16"/>
  <c r="E10" i="16"/>
  <c r="D10" i="16"/>
  <c r="C10" i="16"/>
  <c r="J31" i="10"/>
  <c r="K31" i="10"/>
  <c r="C62" i="16"/>
  <c r="C64" i="16"/>
  <c r="E62" i="16"/>
  <c r="E64" i="16"/>
  <c r="G64" i="16"/>
  <c r="I62" i="16"/>
  <c r="I64" i="16"/>
  <c r="K64" i="16"/>
  <c r="M62" i="16"/>
  <c r="O60" i="16"/>
  <c r="D62" i="16"/>
  <c r="D64" i="16" s="1"/>
  <c r="F62" i="16"/>
  <c r="F64" i="16" s="1"/>
  <c r="H62" i="16"/>
  <c r="H64" i="16" s="1"/>
  <c r="J62" i="16"/>
  <c r="J64" i="16" s="1"/>
  <c r="J64" i="15" s="1"/>
  <c r="L62" i="16"/>
  <c r="L64" i="16" s="1"/>
  <c r="N62" i="16"/>
  <c r="N64" i="16" s="1"/>
  <c r="I31" i="10"/>
  <c r="P31" i="10"/>
  <c r="P11" i="10"/>
  <c r="Q31" i="10"/>
  <c r="P17" i="10"/>
  <c r="H31" i="10"/>
  <c r="P23" i="10"/>
  <c r="G31" i="10"/>
  <c r="D31" i="10"/>
  <c r="E31" i="10"/>
  <c r="F31" i="10"/>
  <c r="C31" i="10"/>
  <c r="C21" i="10"/>
  <c r="D9" i="10" s="1"/>
  <c r="D21" i="10" s="1"/>
  <c r="E9" i="10" s="1"/>
  <c r="N60" i="15"/>
  <c r="M60" i="15"/>
  <c r="L60" i="15"/>
  <c r="K60" i="15"/>
  <c r="J60" i="15"/>
  <c r="I60" i="15"/>
  <c r="H60" i="15"/>
  <c r="G60" i="15"/>
  <c r="F60" i="15"/>
  <c r="E60" i="15"/>
  <c r="D60" i="15"/>
  <c r="C60" i="15"/>
  <c r="N49" i="15"/>
  <c r="M49" i="15"/>
  <c r="L49" i="15"/>
  <c r="K49" i="15"/>
  <c r="K51" i="15" s="1"/>
  <c r="K62" i="15" s="1"/>
  <c r="K64" i="15" s="1"/>
  <c r="J49" i="15"/>
  <c r="I49" i="15"/>
  <c r="H49" i="15"/>
  <c r="G49" i="15"/>
  <c r="G51" i="15" s="1"/>
  <c r="G62" i="15" s="1"/>
  <c r="G64" i="15" s="1"/>
  <c r="F49" i="15"/>
  <c r="E49" i="15"/>
  <c r="D49" i="15"/>
  <c r="C49" i="15"/>
  <c r="N44" i="15"/>
  <c r="M44" i="15"/>
  <c r="L44" i="15"/>
  <c r="K44" i="15"/>
  <c r="J44" i="15"/>
  <c r="I44" i="15"/>
  <c r="H44" i="15"/>
  <c r="G44" i="15"/>
  <c r="F44" i="15"/>
  <c r="E44" i="15"/>
  <c r="D44" i="15"/>
  <c r="C44" i="15"/>
  <c r="N59" i="14"/>
  <c r="M59" i="14"/>
  <c r="L59" i="14"/>
  <c r="K59" i="14"/>
  <c r="J59" i="14"/>
  <c r="I59" i="14"/>
  <c r="H59" i="14"/>
  <c r="G59" i="14"/>
  <c r="F59" i="14"/>
  <c r="E59" i="14"/>
  <c r="D59" i="14"/>
  <c r="C59" i="14"/>
  <c r="O58" i="14"/>
  <c r="O55" i="14"/>
  <c r="O54" i="14"/>
  <c r="O53" i="14"/>
  <c r="N48" i="14"/>
  <c r="M48" i="14"/>
  <c r="L48" i="14"/>
  <c r="K48" i="14"/>
  <c r="J48" i="14"/>
  <c r="I48" i="14"/>
  <c r="H48" i="14"/>
  <c r="G48" i="14"/>
  <c r="F48" i="14"/>
  <c r="E48" i="14"/>
  <c r="D48" i="14"/>
  <c r="C48" i="14"/>
  <c r="O47" i="14"/>
  <c r="O46" i="14"/>
  <c r="N43" i="14"/>
  <c r="M43" i="14"/>
  <c r="L43" i="14"/>
  <c r="K43" i="14"/>
  <c r="J43" i="14"/>
  <c r="I43" i="14"/>
  <c r="H43" i="14"/>
  <c r="G43" i="14"/>
  <c r="F43" i="14"/>
  <c r="E43" i="14"/>
  <c r="D43" i="14"/>
  <c r="C43" i="14"/>
  <c r="O42" i="14"/>
  <c r="O43" i="14" s="1"/>
  <c r="N37" i="14"/>
  <c r="M37" i="14"/>
  <c r="L37" i="14"/>
  <c r="K37" i="14"/>
  <c r="J37" i="14"/>
  <c r="I37" i="14"/>
  <c r="H37" i="14"/>
  <c r="G37" i="14"/>
  <c r="F37" i="14"/>
  <c r="E37" i="14"/>
  <c r="D37" i="14"/>
  <c r="C37" i="14"/>
  <c r="O36" i="14"/>
  <c r="O35" i="14"/>
  <c r="O34" i="14"/>
  <c r="N31" i="14"/>
  <c r="M31" i="14"/>
  <c r="L31" i="14"/>
  <c r="K31" i="14"/>
  <c r="J31" i="14"/>
  <c r="I31" i="14"/>
  <c r="H31" i="14"/>
  <c r="G31" i="14"/>
  <c r="F31" i="14"/>
  <c r="D31" i="14"/>
  <c r="C31" i="14"/>
  <c r="O30" i="14"/>
  <c r="O31" i="14" s="1"/>
  <c r="E31" i="14"/>
  <c r="O26" i="14"/>
  <c r="O15" i="14"/>
  <c r="O14" i="14"/>
  <c r="O12" i="14"/>
  <c r="O11" i="14"/>
  <c r="O10" i="14"/>
  <c r="O20" i="5"/>
  <c r="C51" i="15"/>
  <c r="C62" i="15" s="1"/>
  <c r="C64" i="15" s="1"/>
  <c r="D51" i="15"/>
  <c r="D62" i="15" s="1"/>
  <c r="D64" i="15" s="1"/>
  <c r="F51" i="15"/>
  <c r="F62" i="15" s="1"/>
  <c r="F64" i="15" s="1"/>
  <c r="H51" i="15"/>
  <c r="H62" i="15"/>
  <c r="H64" i="15" s="1"/>
  <c r="J51" i="15"/>
  <c r="J62" i="15"/>
  <c r="L51" i="15"/>
  <c r="L62" i="15" s="1"/>
  <c r="L64" i="15" s="1"/>
  <c r="N51" i="15"/>
  <c r="N62" i="15" s="1"/>
  <c r="N64" i="15" s="1"/>
  <c r="O74" i="13"/>
  <c r="N55" i="13"/>
  <c r="L55" i="13"/>
  <c r="J55" i="13"/>
  <c r="H55" i="13"/>
  <c r="F55" i="13"/>
  <c r="D55" i="13"/>
  <c r="C55" i="13"/>
  <c r="O73" i="13"/>
  <c r="O72" i="13"/>
  <c r="O71" i="13"/>
  <c r="O70" i="13"/>
  <c r="O75" i="13" s="1"/>
  <c r="O69" i="13"/>
  <c r="O68" i="13"/>
  <c r="O67" i="13"/>
  <c r="M55" i="13"/>
  <c r="M62" i="13" s="1"/>
  <c r="K55" i="13"/>
  <c r="I55" i="13"/>
  <c r="G55" i="13"/>
  <c r="E55" i="13"/>
  <c r="E62" i="13" s="1"/>
  <c r="E64" i="13" s="1"/>
  <c r="O59" i="13"/>
  <c r="O58" i="13"/>
  <c r="O57" i="13"/>
  <c r="O56" i="13"/>
  <c r="O52" i="13"/>
  <c r="O50" i="13"/>
  <c r="O49" i="13"/>
  <c r="N48" i="13"/>
  <c r="M48" i="13"/>
  <c r="L48" i="13"/>
  <c r="K48" i="13"/>
  <c r="J48" i="13"/>
  <c r="I48" i="13"/>
  <c r="H48" i="13"/>
  <c r="G48" i="13"/>
  <c r="F48" i="13"/>
  <c r="E48" i="13"/>
  <c r="D48" i="13"/>
  <c r="C48" i="13"/>
  <c r="O48" i="13"/>
  <c r="O47" i="13"/>
  <c r="O45" i="13"/>
  <c r="O44" i="13"/>
  <c r="N43" i="13"/>
  <c r="M43" i="13"/>
  <c r="L43" i="13"/>
  <c r="K43" i="13"/>
  <c r="J43" i="13"/>
  <c r="I43" i="13"/>
  <c r="H43" i="13"/>
  <c r="G43" i="13"/>
  <c r="F43" i="13"/>
  <c r="O43" i="13" s="1"/>
  <c r="E43" i="13"/>
  <c r="D43" i="13"/>
  <c r="C43" i="13"/>
  <c r="O41" i="13"/>
  <c r="O39" i="13"/>
  <c r="N38" i="13"/>
  <c r="M38" i="13"/>
  <c r="L38" i="13"/>
  <c r="K38" i="13"/>
  <c r="J38" i="13"/>
  <c r="I38" i="13"/>
  <c r="H38" i="13"/>
  <c r="G38" i="13"/>
  <c r="F38" i="13"/>
  <c r="E38" i="13"/>
  <c r="D38" i="13"/>
  <c r="D62" i="13" s="1"/>
  <c r="D64" i="13" s="1"/>
  <c r="C38" i="13"/>
  <c r="O37" i="13"/>
  <c r="O35" i="13"/>
  <c r="O34" i="13"/>
  <c r="N33" i="13"/>
  <c r="M33" i="13"/>
  <c r="L33" i="13"/>
  <c r="K33" i="13"/>
  <c r="K62" i="13" s="1"/>
  <c r="K64" i="13" s="1"/>
  <c r="J33" i="13"/>
  <c r="I33" i="13"/>
  <c r="H33" i="13"/>
  <c r="G33" i="13"/>
  <c r="F33" i="13"/>
  <c r="E33" i="13"/>
  <c r="D33" i="13"/>
  <c r="C33" i="13"/>
  <c r="O33" i="13" s="1"/>
  <c r="O28" i="13"/>
  <c r="O27" i="13"/>
  <c r="O26" i="13"/>
  <c r="O25" i="13"/>
  <c r="O23" i="13"/>
  <c r="O22" i="13"/>
  <c r="O19" i="13"/>
  <c r="O17" i="13"/>
  <c r="O16" i="13"/>
  <c r="N15" i="13"/>
  <c r="M15" i="13"/>
  <c r="L15" i="13"/>
  <c r="K15" i="13"/>
  <c r="J15" i="13"/>
  <c r="I15" i="13"/>
  <c r="H15" i="13"/>
  <c r="G15" i="13"/>
  <c r="F15" i="13"/>
  <c r="E15" i="13"/>
  <c r="D15" i="13"/>
  <c r="O15" i="13" s="1"/>
  <c r="C15" i="13"/>
  <c r="O14" i="13"/>
  <c r="O13" i="13"/>
  <c r="N10" i="13"/>
  <c r="M10" i="13"/>
  <c r="L10" i="13"/>
  <c r="K10" i="13"/>
  <c r="J10" i="13"/>
  <c r="I10" i="13"/>
  <c r="H10" i="13"/>
  <c r="G10" i="13"/>
  <c r="F10" i="13"/>
  <c r="E10" i="13"/>
  <c r="D10" i="13"/>
  <c r="C10" i="13"/>
  <c r="O9" i="13"/>
  <c r="O8" i="13"/>
  <c r="O21" i="13"/>
  <c r="O10" i="13"/>
  <c r="L62" i="13"/>
  <c r="L64" i="13" s="1"/>
  <c r="I62" i="13"/>
  <c r="I64" i="13" s="1"/>
  <c r="M64" i="13"/>
  <c r="M64" i="27" s="1"/>
  <c r="AG23" i="30"/>
  <c r="O60" i="13"/>
  <c r="AN23" i="30"/>
  <c r="O74" i="12"/>
  <c r="O73" i="12"/>
  <c r="O71" i="12"/>
  <c r="O70" i="12"/>
  <c r="O69" i="12"/>
  <c r="O68" i="12"/>
  <c r="O67" i="12"/>
  <c r="O59" i="12"/>
  <c r="O58" i="12"/>
  <c r="O57" i="12"/>
  <c r="O56" i="12"/>
  <c r="O52" i="12"/>
  <c r="O50" i="12"/>
  <c r="O49" i="12"/>
  <c r="O45" i="12"/>
  <c r="O44" i="12"/>
  <c r="O41" i="12"/>
  <c r="O39" i="12"/>
  <c r="O35" i="12"/>
  <c r="O34" i="12"/>
  <c r="O17" i="12"/>
  <c r="O16" i="12"/>
  <c r="N10" i="12"/>
  <c r="M10" i="12"/>
  <c r="L10" i="12"/>
  <c r="K10" i="12"/>
  <c r="J10" i="12"/>
  <c r="I10" i="12"/>
  <c r="H10" i="12"/>
  <c r="G10" i="12"/>
  <c r="F10" i="12"/>
  <c r="E10" i="12"/>
  <c r="D10" i="12"/>
  <c r="C10" i="12"/>
  <c r="O72" i="11"/>
  <c r="O74" i="11"/>
  <c r="O73" i="11"/>
  <c r="O71" i="11"/>
  <c r="O70" i="11"/>
  <c r="O69" i="11"/>
  <c r="O68" i="11"/>
  <c r="O75" i="11" s="1"/>
  <c r="O67" i="11"/>
  <c r="O59" i="11"/>
  <c r="O58" i="11"/>
  <c r="O57" i="11"/>
  <c r="O56" i="11"/>
  <c r="O52" i="11"/>
  <c r="O50" i="11"/>
  <c r="O49" i="11"/>
  <c r="O45" i="11"/>
  <c r="O44" i="11"/>
  <c r="O41" i="11"/>
  <c r="O39" i="11"/>
  <c r="O35" i="11"/>
  <c r="O34" i="11"/>
  <c r="O17" i="11"/>
  <c r="O16" i="11"/>
  <c r="N10" i="11"/>
  <c r="M10" i="11"/>
  <c r="L10" i="11"/>
  <c r="L64" i="11" s="1"/>
  <c r="K10" i="11"/>
  <c r="J10" i="11"/>
  <c r="I10" i="11"/>
  <c r="H10" i="11"/>
  <c r="H64" i="11" s="1"/>
  <c r="G10" i="11"/>
  <c r="F10" i="11"/>
  <c r="E10" i="11"/>
  <c r="D10" i="11"/>
  <c r="D64" i="11" s="1"/>
  <c r="C10" i="11"/>
  <c r="C62" i="11"/>
  <c r="C64" i="11" s="1"/>
  <c r="K62" i="11"/>
  <c r="K64" i="11" s="1"/>
  <c r="M62" i="11"/>
  <c r="M64" i="11" s="1"/>
  <c r="E62" i="11"/>
  <c r="E64" i="11" s="1"/>
  <c r="G62" i="11"/>
  <c r="G64" i="11" s="1"/>
  <c r="I62" i="11"/>
  <c r="I64" i="11" s="1"/>
  <c r="O60" i="11"/>
  <c r="N62" i="12"/>
  <c r="N64" i="12" s="1"/>
  <c r="M62" i="12"/>
  <c r="M64" i="12"/>
  <c r="L62" i="12"/>
  <c r="L64" i="12" s="1"/>
  <c r="K62" i="12"/>
  <c r="K64" i="12"/>
  <c r="J62" i="12"/>
  <c r="J64" i="12" s="1"/>
  <c r="I62" i="12"/>
  <c r="I64" i="12"/>
  <c r="H62" i="12"/>
  <c r="H64" i="12" s="1"/>
  <c r="G62" i="12"/>
  <c r="G64" i="12"/>
  <c r="F62" i="12"/>
  <c r="F64" i="12" s="1"/>
  <c r="E62" i="12"/>
  <c r="E64" i="12"/>
  <c r="D62" i="12"/>
  <c r="D64" i="12" s="1"/>
  <c r="O60" i="12"/>
  <c r="O72" i="12"/>
  <c r="O75" i="12" s="1"/>
  <c r="D62" i="11"/>
  <c r="F62" i="11"/>
  <c r="F64" i="11" s="1"/>
  <c r="F64" i="1" s="1"/>
  <c r="H62" i="11"/>
  <c r="J62" i="11"/>
  <c r="J64" i="11"/>
  <c r="L62" i="11"/>
  <c r="N62" i="11"/>
  <c r="N64" i="11"/>
  <c r="C62" i="12"/>
  <c r="C64" i="12"/>
  <c r="P57" i="9"/>
  <c r="W57" i="9" s="1"/>
  <c r="O73" i="6"/>
  <c r="O72" i="6"/>
  <c r="O71" i="6"/>
  <c r="O70" i="6"/>
  <c r="O69" i="6"/>
  <c r="O68" i="6"/>
  <c r="O67" i="6"/>
  <c r="N74" i="6"/>
  <c r="N54" i="6"/>
  <c r="M74" i="6"/>
  <c r="M54" i="6"/>
  <c r="L74" i="6"/>
  <c r="L54" i="6"/>
  <c r="K74" i="6"/>
  <c r="K54" i="6"/>
  <c r="J74" i="6"/>
  <c r="J54" i="6"/>
  <c r="I74" i="6"/>
  <c r="I54" i="6"/>
  <c r="H74" i="6"/>
  <c r="H54" i="6"/>
  <c r="G74" i="6"/>
  <c r="G54" i="6"/>
  <c r="F74" i="6"/>
  <c r="F54" i="6"/>
  <c r="E74" i="6"/>
  <c r="E54" i="6"/>
  <c r="D74" i="6"/>
  <c r="D54" i="6"/>
  <c r="C74" i="6"/>
  <c r="O58" i="6"/>
  <c r="O57" i="6"/>
  <c r="O56" i="6"/>
  <c r="O55" i="6"/>
  <c r="O52" i="6"/>
  <c r="O50" i="6"/>
  <c r="O49" i="6"/>
  <c r="N48" i="6"/>
  <c r="M48" i="6"/>
  <c r="L48" i="6"/>
  <c r="K48" i="6"/>
  <c r="J48" i="6"/>
  <c r="I48" i="6"/>
  <c r="H48" i="6"/>
  <c r="G48" i="6"/>
  <c r="F48" i="6"/>
  <c r="E48" i="6"/>
  <c r="D48" i="6"/>
  <c r="O47" i="6"/>
  <c r="O45" i="6"/>
  <c r="O44" i="6"/>
  <c r="N43" i="6"/>
  <c r="M43" i="6"/>
  <c r="L43" i="6"/>
  <c r="K43" i="6"/>
  <c r="J43" i="6"/>
  <c r="I43" i="6"/>
  <c r="H43" i="6"/>
  <c r="G43" i="6"/>
  <c r="F43" i="6"/>
  <c r="E43" i="6"/>
  <c r="D43" i="6"/>
  <c r="O41" i="6"/>
  <c r="O39" i="6"/>
  <c r="N38" i="6"/>
  <c r="M38" i="6"/>
  <c r="L38" i="6"/>
  <c r="K38" i="6"/>
  <c r="J38" i="6"/>
  <c r="I38" i="6"/>
  <c r="H38" i="6"/>
  <c r="G38" i="6"/>
  <c r="F38" i="6"/>
  <c r="E38" i="6"/>
  <c r="D38" i="6"/>
  <c r="O37" i="6"/>
  <c r="O35" i="6"/>
  <c r="O34" i="6"/>
  <c r="E33" i="6"/>
  <c r="C33" i="6"/>
  <c r="O28" i="6"/>
  <c r="O27" i="6"/>
  <c r="O26" i="6"/>
  <c r="O25" i="6"/>
  <c r="O23" i="6"/>
  <c r="O22" i="6"/>
  <c r="O19" i="6"/>
  <c r="O17" i="6"/>
  <c r="O16" i="6"/>
  <c r="N15" i="6"/>
  <c r="M15" i="6"/>
  <c r="L15" i="6"/>
  <c r="K15" i="6"/>
  <c r="J15" i="6"/>
  <c r="I15" i="6"/>
  <c r="H15" i="6"/>
  <c r="G15" i="6"/>
  <c r="F15" i="6"/>
  <c r="E15" i="6"/>
  <c r="D15" i="6"/>
  <c r="C15" i="6"/>
  <c r="O14" i="6"/>
  <c r="O13" i="6"/>
  <c r="N10" i="6"/>
  <c r="M10" i="6"/>
  <c r="L10" i="6"/>
  <c r="K10" i="6"/>
  <c r="J10" i="6"/>
  <c r="I10" i="6"/>
  <c r="H10" i="6"/>
  <c r="G10" i="6"/>
  <c r="F10" i="6"/>
  <c r="E10" i="6"/>
  <c r="D10" i="6"/>
  <c r="C10" i="6"/>
  <c r="O9" i="6"/>
  <c r="O8" i="6"/>
  <c r="O10" i="6" s="1"/>
  <c r="E21" i="10"/>
  <c r="F9" i="10"/>
  <c r="F21" i="10" s="1"/>
  <c r="G9" i="10" s="1"/>
  <c r="G21" i="10" s="1"/>
  <c r="H9" i="10" s="1"/>
  <c r="H21" i="10" s="1"/>
  <c r="O59" i="6"/>
  <c r="O66" i="6"/>
  <c r="O58" i="5"/>
  <c r="O57" i="5"/>
  <c r="O56" i="5"/>
  <c r="O55" i="5"/>
  <c r="O52" i="5"/>
  <c r="O51" i="5"/>
  <c r="O50" i="5"/>
  <c r="D49" i="5"/>
  <c r="E49" i="5"/>
  <c r="F49" i="5"/>
  <c r="G49" i="5"/>
  <c r="H49" i="5"/>
  <c r="I49" i="5"/>
  <c r="J49" i="5"/>
  <c r="K49" i="5"/>
  <c r="L49" i="5"/>
  <c r="N49" i="5"/>
  <c r="O46" i="5"/>
  <c r="O45" i="5"/>
  <c r="N44" i="5"/>
  <c r="M44" i="5"/>
  <c r="L44" i="5"/>
  <c r="K44" i="5"/>
  <c r="J44" i="5"/>
  <c r="I44" i="5"/>
  <c r="H44" i="5"/>
  <c r="G44" i="5"/>
  <c r="F44" i="5"/>
  <c r="E44" i="5"/>
  <c r="D44" i="5"/>
  <c r="O42" i="5"/>
  <c r="O40" i="5"/>
  <c r="O26" i="5"/>
  <c r="O25" i="5"/>
  <c r="O17" i="5"/>
  <c r="O16" i="5"/>
  <c r="O9" i="5"/>
  <c r="O8" i="5"/>
  <c r="D10" i="5"/>
  <c r="E10" i="5"/>
  <c r="F10" i="5"/>
  <c r="G10" i="5"/>
  <c r="H10" i="5"/>
  <c r="I10" i="5"/>
  <c r="J10" i="5"/>
  <c r="K10" i="5"/>
  <c r="L10" i="5"/>
  <c r="M10" i="5"/>
  <c r="N10" i="5"/>
  <c r="C10" i="5"/>
  <c r="I60" i="1"/>
  <c r="J60" i="1"/>
  <c r="K60" i="1"/>
  <c r="L60" i="1"/>
  <c r="M60" i="1"/>
  <c r="N60" i="1"/>
  <c r="I44" i="1"/>
  <c r="J44" i="1"/>
  <c r="K44" i="1"/>
  <c r="L44" i="1"/>
  <c r="L51" i="1" s="1"/>
  <c r="L62" i="1" s="1"/>
  <c r="M44" i="1"/>
  <c r="N44" i="1"/>
  <c r="D49" i="1"/>
  <c r="E49" i="1"/>
  <c r="F49" i="1"/>
  <c r="F51" i="1" s="1"/>
  <c r="G49" i="1"/>
  <c r="H49" i="1"/>
  <c r="I49" i="1"/>
  <c r="J49" i="1"/>
  <c r="J51" i="1" s="1"/>
  <c r="K49" i="1"/>
  <c r="L49" i="1"/>
  <c r="M49" i="1"/>
  <c r="N49" i="1"/>
  <c r="C49" i="1"/>
  <c r="O38" i="5"/>
  <c r="O19" i="5"/>
  <c r="O14" i="5"/>
  <c r="D59" i="37"/>
  <c r="B59" i="37"/>
  <c r="I54" i="5"/>
  <c r="M54" i="5"/>
  <c r="O13" i="5"/>
  <c r="O22" i="5"/>
  <c r="O27" i="5"/>
  <c r="O23" i="5"/>
  <c r="O28" i="5"/>
  <c r="O48" i="5"/>
  <c r="C59" i="37"/>
  <c r="I59" i="37"/>
  <c r="L59" i="37"/>
  <c r="L54" i="37" s="1"/>
  <c r="K59" i="37"/>
  <c r="K54" i="37" s="1"/>
  <c r="M59" i="37"/>
  <c r="M54" i="37" s="1"/>
  <c r="AN22" i="30"/>
  <c r="E54" i="5"/>
  <c r="J54" i="5"/>
  <c r="F54" i="5"/>
  <c r="N54" i="5"/>
  <c r="G54" i="5"/>
  <c r="H54" i="5"/>
  <c r="L54" i="5"/>
  <c r="K54" i="5"/>
  <c r="O59" i="5"/>
  <c r="D60" i="1"/>
  <c r="E60" i="1"/>
  <c r="F60" i="1"/>
  <c r="G60" i="1"/>
  <c r="H60" i="1"/>
  <c r="D44" i="1"/>
  <c r="D51" i="1" s="1"/>
  <c r="D62" i="1" s="1"/>
  <c r="E44" i="1"/>
  <c r="F44" i="1"/>
  <c r="G44" i="1"/>
  <c r="H44" i="1"/>
  <c r="C44" i="1"/>
  <c r="C51" i="1" s="1"/>
  <c r="C62" i="1" s="1"/>
  <c r="J59" i="37"/>
  <c r="D54" i="5"/>
  <c r="C60" i="1"/>
  <c r="I51" i="1"/>
  <c r="I62" i="1" s="1"/>
  <c r="I64" i="1" s="1"/>
  <c r="K51" i="1"/>
  <c r="K62" i="1"/>
  <c r="K64" i="1"/>
  <c r="C64" i="1"/>
  <c r="G51" i="1"/>
  <c r="G62" i="1" s="1"/>
  <c r="G64" i="1" s="1"/>
  <c r="E51" i="1"/>
  <c r="E62" i="1"/>
  <c r="E64" i="1" s="1"/>
  <c r="J62" i="1"/>
  <c r="J64" i="1" s="1"/>
  <c r="L64" i="1"/>
  <c r="N51" i="1"/>
  <c r="N62" i="1" s="1"/>
  <c r="N64" i="1" s="1"/>
  <c r="H51" i="1"/>
  <c r="H62" i="1" s="1"/>
  <c r="H64" i="1" s="1"/>
  <c r="F62" i="1"/>
  <c r="D64" i="1"/>
  <c r="I9" i="10"/>
  <c r="I21" i="10" s="1"/>
  <c r="J9" i="10" s="1"/>
  <c r="AG25" i="30"/>
  <c r="M51" i="1"/>
  <c r="M62" i="1"/>
  <c r="M64" i="1" s="1"/>
  <c r="O15" i="5"/>
  <c r="I55" i="37"/>
  <c r="C57" i="37"/>
  <c r="B50" i="37"/>
  <c r="D51" i="37"/>
  <c r="H51" i="37"/>
  <c r="E51" i="37"/>
  <c r="B13" i="36"/>
  <c r="V60" i="25"/>
  <c r="V62" i="25" s="1"/>
  <c r="AB59" i="37"/>
  <c r="R58" i="25"/>
  <c r="X58" i="25" s="1"/>
  <c r="R33" i="25"/>
  <c r="X33" i="25" s="1"/>
  <c r="R21" i="25"/>
  <c r="X21" i="25" s="1"/>
  <c r="Y13" i="36"/>
  <c r="Y36" i="36"/>
  <c r="Y11" i="36"/>
  <c r="Y35" i="36"/>
  <c r="Y43" i="36"/>
  <c r="Y44" i="36" s="1"/>
  <c r="Y54" i="36"/>
  <c r="Y8" i="37"/>
  <c r="Y13" i="37"/>
  <c r="Y14" i="37"/>
  <c r="Y17" i="37"/>
  <c r="Y15" i="37" s="1"/>
  <c r="Y22" i="37"/>
  <c r="Y19" i="36"/>
  <c r="Y21" i="36"/>
  <c r="Y22" i="36"/>
  <c r="Y55" i="36"/>
  <c r="Y27" i="37"/>
  <c r="Y30" i="37"/>
  <c r="Y67" i="37"/>
  <c r="Y56" i="36"/>
  <c r="Y12" i="36"/>
  <c r="Y15" i="36"/>
  <c r="Y20" i="36"/>
  <c r="Y26" i="36"/>
  <c r="Y28" i="36" s="1"/>
  <c r="Y48" i="36"/>
  <c r="Y26" i="37"/>
  <c r="Y31" i="37"/>
  <c r="Y23" i="37"/>
  <c r="N51" i="37"/>
  <c r="P51" i="37" s="1"/>
  <c r="W51" i="37" s="1"/>
  <c r="AB65" i="36"/>
  <c r="Y65" i="36"/>
  <c r="R10" i="25" l="1"/>
  <c r="D26" i="36"/>
  <c r="U39" i="8"/>
  <c r="U50" i="8" s="1"/>
  <c r="U60" i="8" s="1"/>
  <c r="H35" i="36"/>
  <c r="E31" i="36"/>
  <c r="E32" i="36" s="1"/>
  <c r="J31" i="36"/>
  <c r="J32" i="36" s="1"/>
  <c r="B28" i="36"/>
  <c r="Y48" i="37"/>
  <c r="U62" i="25"/>
  <c r="C26" i="36"/>
  <c r="C28" i="36" s="1"/>
  <c r="D37" i="8"/>
  <c r="Q62" i="8"/>
  <c r="Q62" i="9"/>
  <c r="D61" i="6"/>
  <c r="D63" i="6" s="1"/>
  <c r="D64" i="17" s="1"/>
  <c r="O38" i="6"/>
  <c r="I61" i="6"/>
  <c r="I63" i="6" s="1"/>
  <c r="O15" i="6"/>
  <c r="O74" i="6"/>
  <c r="Y27" i="9"/>
  <c r="Y31" i="9"/>
  <c r="Z31" i="9" s="1"/>
  <c r="B43" i="36"/>
  <c r="B44" i="36" s="1"/>
  <c r="X48" i="25"/>
  <c r="AB38" i="37"/>
  <c r="K61" i="5"/>
  <c r="K63" i="5" s="1"/>
  <c r="F48" i="8"/>
  <c r="E48" i="8"/>
  <c r="F47" i="36"/>
  <c r="F49" i="36" s="1"/>
  <c r="AW8" i="30"/>
  <c r="AW16" i="30"/>
  <c r="AX13" i="30"/>
  <c r="AY10" i="30"/>
  <c r="AJ16" i="30"/>
  <c r="AY18" i="30"/>
  <c r="AT30" i="30"/>
  <c r="AV30" i="30" s="1"/>
  <c r="AW32" i="30"/>
  <c r="AY21" i="30"/>
  <c r="AU34" i="30"/>
  <c r="AV37" i="30"/>
  <c r="AX29" i="30"/>
  <c r="AG19" i="30"/>
  <c r="AH19" i="30" s="1"/>
  <c r="AJ19" i="30" s="1"/>
  <c r="AO14" i="30"/>
  <c r="AP14" i="30" s="1"/>
  <c r="AB19" i="30"/>
  <c r="AD19" i="30" s="1"/>
  <c r="AZ45" i="30"/>
  <c r="BB45" i="30" s="1"/>
  <c r="AA34" i="30"/>
  <c r="AT20" i="30"/>
  <c r="AV20" i="30" s="1"/>
  <c r="AT17" i="30"/>
  <c r="AV17" i="30" s="1"/>
  <c r="AV38" i="30"/>
  <c r="AT22" i="30"/>
  <c r="AV22" i="30" s="1"/>
  <c r="AT13" i="30"/>
  <c r="AV13" i="30" s="1"/>
  <c r="AH20" i="30"/>
  <c r="AJ20" i="30" s="1"/>
  <c r="AX8" i="30"/>
  <c r="AX28" i="30"/>
  <c r="AX16" i="30"/>
  <c r="AY13" i="30"/>
  <c r="AW11" i="30"/>
  <c r="AW19" i="30"/>
  <c r="AH17" i="30"/>
  <c r="AJ17" i="30" s="1"/>
  <c r="AT31" i="30"/>
  <c r="AV31" i="30" s="1"/>
  <c r="AW22" i="30"/>
  <c r="G23" i="8"/>
  <c r="D33" i="9"/>
  <c r="O33" i="6"/>
  <c r="N20" i="8"/>
  <c r="P20" i="8" s="1"/>
  <c r="W20" i="8" s="1"/>
  <c r="B48" i="8"/>
  <c r="B27" i="8"/>
  <c r="V62" i="8"/>
  <c r="F61" i="6"/>
  <c r="F63" i="6" s="1"/>
  <c r="F64" i="17" s="1"/>
  <c r="H10" i="9"/>
  <c r="B10" i="9"/>
  <c r="N19" i="9"/>
  <c r="P19" i="9" s="1"/>
  <c r="W19" i="9" s="1"/>
  <c r="O21" i="5"/>
  <c r="O60" i="9"/>
  <c r="O62" i="9" s="1"/>
  <c r="O64" i="36" s="1"/>
  <c r="C38" i="37"/>
  <c r="D43" i="9"/>
  <c r="D15" i="9"/>
  <c r="H15" i="9"/>
  <c r="C48" i="8"/>
  <c r="A3" i="14"/>
  <c r="C61" i="6"/>
  <c r="C63" i="6" s="1"/>
  <c r="O43" i="6"/>
  <c r="B19" i="37"/>
  <c r="N19" i="37" s="1"/>
  <c r="L61" i="6"/>
  <c r="L63" i="6" s="1"/>
  <c r="O48" i="6"/>
  <c r="J10" i="37"/>
  <c r="B15" i="9"/>
  <c r="K61" i="6"/>
  <c r="K63" i="6" s="1"/>
  <c r="K64" i="17" s="1"/>
  <c r="L15" i="9"/>
  <c r="A3" i="11"/>
  <c r="A3" i="16"/>
  <c r="A3" i="20"/>
  <c r="A3" i="28"/>
  <c r="A3" i="31"/>
  <c r="J49" i="36"/>
  <c r="A3" i="30"/>
  <c r="Y10" i="37"/>
  <c r="Y54" i="37"/>
  <c r="Y74" i="37"/>
  <c r="N30" i="8"/>
  <c r="N31" i="8" s="1"/>
  <c r="A3" i="5"/>
  <c r="A3" i="12"/>
  <c r="A3" i="10"/>
  <c r="A3" i="21"/>
  <c r="A3" i="26"/>
  <c r="A3" i="27"/>
  <c r="C31" i="36"/>
  <c r="C32" i="36" s="1"/>
  <c r="A3" i="37"/>
  <c r="A3" i="36"/>
  <c r="G35" i="36"/>
  <c r="N47" i="8"/>
  <c r="P47" i="8" s="1"/>
  <c r="W47" i="8" s="1"/>
  <c r="A3" i="6"/>
  <c r="A3" i="13"/>
  <c r="A3" i="18"/>
  <c r="A3" i="32"/>
  <c r="L35" i="36"/>
  <c r="A3" i="9"/>
  <c r="A3" i="1"/>
  <c r="A3" i="15"/>
  <c r="A3" i="17"/>
  <c r="A3" i="19"/>
  <c r="O39" i="8"/>
  <c r="O50" i="8" s="1"/>
  <c r="O60" i="8" s="1"/>
  <c r="E26" i="36"/>
  <c r="F31" i="36"/>
  <c r="F32" i="36" s="1"/>
  <c r="K27" i="36"/>
  <c r="K28" i="36" s="1"/>
  <c r="D36" i="36"/>
  <c r="I36" i="36" s="1"/>
  <c r="C38" i="36"/>
  <c r="J48" i="8"/>
  <c r="D48" i="8"/>
  <c r="G48" i="8"/>
  <c r="F37" i="8"/>
  <c r="K37" i="8"/>
  <c r="I49" i="36"/>
  <c r="H48" i="8"/>
  <c r="C23" i="36"/>
  <c r="J21" i="36"/>
  <c r="D23" i="36"/>
  <c r="O48" i="14"/>
  <c r="J37" i="8"/>
  <c r="I48" i="8"/>
  <c r="AC51" i="37"/>
  <c r="AD51" i="37"/>
  <c r="U62" i="8"/>
  <c r="E48" i="37"/>
  <c r="Z51" i="37"/>
  <c r="N20" i="9"/>
  <c r="P20" i="9" s="1"/>
  <c r="W20" i="9" s="1"/>
  <c r="S62" i="9"/>
  <c r="S64" i="36" s="1"/>
  <c r="H74" i="37"/>
  <c r="J33" i="37"/>
  <c r="H33" i="9"/>
  <c r="R53" i="25"/>
  <c r="X53" i="25" s="1"/>
  <c r="T60" i="25"/>
  <c r="T62" i="25" s="1"/>
  <c r="AB10" i="37"/>
  <c r="L21" i="9"/>
  <c r="I10" i="37"/>
  <c r="B74" i="37"/>
  <c r="K21" i="9"/>
  <c r="G21" i="9"/>
  <c r="C21" i="9"/>
  <c r="N47" i="9"/>
  <c r="P47" i="9" s="1"/>
  <c r="W47" i="9" s="1"/>
  <c r="D22" i="37"/>
  <c r="D21" i="37" s="1"/>
  <c r="D21" i="9"/>
  <c r="I54" i="37"/>
  <c r="H47" i="37"/>
  <c r="N47" i="37" s="1"/>
  <c r="C48" i="37"/>
  <c r="B48" i="37"/>
  <c r="N48" i="37" s="1"/>
  <c r="C22" i="37"/>
  <c r="C21" i="37" s="1"/>
  <c r="G74" i="37"/>
  <c r="K48" i="9"/>
  <c r="J21" i="9"/>
  <c r="F21" i="9"/>
  <c r="B21" i="9"/>
  <c r="H22" i="37"/>
  <c r="H21" i="37" s="1"/>
  <c r="H21" i="9"/>
  <c r="G48" i="37"/>
  <c r="C61" i="5"/>
  <c r="C63" i="5" s="1"/>
  <c r="B8" i="37"/>
  <c r="B10" i="37" s="1"/>
  <c r="J74" i="37"/>
  <c r="M10" i="9"/>
  <c r="L10" i="9"/>
  <c r="M21" i="9"/>
  <c r="I22" i="37"/>
  <c r="I21" i="37" s="1"/>
  <c r="I21" i="9"/>
  <c r="E21" i="9"/>
  <c r="D48" i="9"/>
  <c r="H48" i="9"/>
  <c r="C33" i="9"/>
  <c r="E33" i="37"/>
  <c r="C15" i="37"/>
  <c r="H35" i="37"/>
  <c r="H33" i="37" s="1"/>
  <c r="L33" i="9"/>
  <c r="N35" i="9"/>
  <c r="P35" i="9" s="1"/>
  <c r="W35" i="9" s="1"/>
  <c r="L61" i="5"/>
  <c r="L63" i="5" s="1"/>
  <c r="G15" i="9"/>
  <c r="E15" i="37"/>
  <c r="G15" i="37"/>
  <c r="F43" i="37"/>
  <c r="D52" i="37"/>
  <c r="N52" i="37" s="1"/>
  <c r="AD52" i="37" s="1"/>
  <c r="C48" i="9"/>
  <c r="N41" i="9"/>
  <c r="P41" i="9" s="1"/>
  <c r="W41" i="9" s="1"/>
  <c r="I43" i="37"/>
  <c r="H57" i="36"/>
  <c r="H16" i="8"/>
  <c r="N55" i="8"/>
  <c r="P55" i="8" s="1"/>
  <c r="W55" i="8" s="1"/>
  <c r="N55" i="36"/>
  <c r="P55" i="36" s="1"/>
  <c r="W55" i="36" s="1"/>
  <c r="G47" i="36"/>
  <c r="G49" i="36" s="1"/>
  <c r="C47" i="36"/>
  <c r="C49" i="36" s="1"/>
  <c r="I37" i="8"/>
  <c r="G31" i="36"/>
  <c r="G32" i="36" s="1"/>
  <c r="N21" i="8"/>
  <c r="P21" i="8" s="1"/>
  <c r="W21" i="8" s="1"/>
  <c r="J16" i="8"/>
  <c r="K48" i="8"/>
  <c r="AZ47" i="30"/>
  <c r="N22" i="8"/>
  <c r="P22" i="8" s="1"/>
  <c r="W22" i="8" s="1"/>
  <c r="Y60" i="36"/>
  <c r="Y23" i="36"/>
  <c r="Y38" i="36"/>
  <c r="Y49" i="36"/>
  <c r="Y16" i="36"/>
  <c r="Y10" i="8"/>
  <c r="J23" i="8"/>
  <c r="I16" i="8"/>
  <c r="Y46" i="8"/>
  <c r="G39" i="14"/>
  <c r="G50" i="14" s="1"/>
  <c r="G61" i="14" s="1"/>
  <c r="G48" i="9"/>
  <c r="G38" i="37"/>
  <c r="H61" i="5"/>
  <c r="H63" i="5" s="1"/>
  <c r="Y56" i="9"/>
  <c r="Z56" i="9" s="1"/>
  <c r="H61" i="6"/>
  <c r="H63" i="6" s="1"/>
  <c r="F48" i="37"/>
  <c r="O44" i="5"/>
  <c r="F16" i="8"/>
  <c r="Y33" i="37"/>
  <c r="Y38" i="37"/>
  <c r="Y43" i="37"/>
  <c r="X8" i="25"/>
  <c r="X10" i="25" s="1"/>
  <c r="Y8" i="9"/>
  <c r="Y54" i="9"/>
  <c r="Z54" i="9" s="1"/>
  <c r="Y57" i="9"/>
  <c r="Z57" i="9" s="1"/>
  <c r="Y23" i="9"/>
  <c r="N37" i="9"/>
  <c r="P37" i="9" s="1"/>
  <c r="W37" i="9" s="1"/>
  <c r="N16" i="9"/>
  <c r="P16" i="9" s="1"/>
  <c r="W16" i="9" s="1"/>
  <c r="D43" i="36"/>
  <c r="D44" i="36" s="1"/>
  <c r="Y47" i="8"/>
  <c r="Y57" i="8"/>
  <c r="Y11" i="8"/>
  <c r="Y20" i="8"/>
  <c r="N66" i="37"/>
  <c r="Z66" i="37" s="1"/>
  <c r="D74" i="37"/>
  <c r="I74" i="37"/>
  <c r="N71" i="37"/>
  <c r="Z71" i="37" s="1"/>
  <c r="D38" i="37"/>
  <c r="N57" i="37"/>
  <c r="P57" i="37" s="1"/>
  <c r="W57" i="37" s="1"/>
  <c r="I33" i="37"/>
  <c r="E10" i="9"/>
  <c r="E43" i="37"/>
  <c r="D54" i="37"/>
  <c r="C43" i="37"/>
  <c r="C54" i="37"/>
  <c r="G10" i="9"/>
  <c r="G38" i="9"/>
  <c r="N9" i="9"/>
  <c r="P9" i="9" s="1"/>
  <c r="W9" i="9" s="1"/>
  <c r="C15" i="9"/>
  <c r="C43" i="9"/>
  <c r="F74" i="37"/>
  <c r="E38" i="37"/>
  <c r="J43" i="9"/>
  <c r="I48" i="37"/>
  <c r="F15" i="9"/>
  <c r="E15" i="9"/>
  <c r="D10" i="9"/>
  <c r="B54" i="37"/>
  <c r="N39" i="9"/>
  <c r="P39" i="9" s="1"/>
  <c r="W39" i="9" s="1"/>
  <c r="N57" i="8"/>
  <c r="P57" i="8" s="1"/>
  <c r="W57" i="8" s="1"/>
  <c r="M57" i="36"/>
  <c r="C58" i="8"/>
  <c r="N14" i="8"/>
  <c r="P14" i="8" s="1"/>
  <c r="W14" i="8" s="1"/>
  <c r="N19" i="8"/>
  <c r="L13" i="36"/>
  <c r="B21" i="37"/>
  <c r="B59" i="36"/>
  <c r="B60" i="36" s="1"/>
  <c r="N54" i="8"/>
  <c r="P54" i="8" s="1"/>
  <c r="W54" i="8" s="1"/>
  <c r="B58" i="8"/>
  <c r="H13" i="36"/>
  <c r="H55" i="37"/>
  <c r="N55" i="37" s="1"/>
  <c r="G54" i="37"/>
  <c r="M48" i="9"/>
  <c r="F48" i="9"/>
  <c r="J48" i="9"/>
  <c r="N51" i="9"/>
  <c r="P51" i="9" s="1"/>
  <c r="W51" i="9" s="1"/>
  <c r="G61" i="5"/>
  <c r="G63" i="5" s="1"/>
  <c r="H49" i="37"/>
  <c r="H48" i="37" s="1"/>
  <c r="D48" i="37"/>
  <c r="L48" i="9"/>
  <c r="I48" i="9"/>
  <c r="K45" i="37"/>
  <c r="B44" i="37"/>
  <c r="L44" i="37" s="1"/>
  <c r="M43" i="9"/>
  <c r="F43" i="9"/>
  <c r="D43" i="37"/>
  <c r="L45" i="37"/>
  <c r="M45" i="37"/>
  <c r="J45" i="37"/>
  <c r="J43" i="37" s="1"/>
  <c r="F38" i="37"/>
  <c r="D38" i="9"/>
  <c r="N40" i="9"/>
  <c r="P40" i="9" s="1"/>
  <c r="W40" i="9" s="1"/>
  <c r="E38" i="9"/>
  <c r="C38" i="9"/>
  <c r="N26" i="37"/>
  <c r="Z26" i="37" s="1"/>
  <c r="F61" i="5"/>
  <c r="F63" i="5" s="1"/>
  <c r="E21" i="37"/>
  <c r="N25" i="37"/>
  <c r="AD25" i="37" s="1"/>
  <c r="F21" i="37"/>
  <c r="N24" i="9"/>
  <c r="P24" i="9" s="1"/>
  <c r="W24" i="9" s="1"/>
  <c r="I15" i="37"/>
  <c r="N17" i="9"/>
  <c r="P17" i="9" s="1"/>
  <c r="W17" i="9" s="1"/>
  <c r="B16" i="37"/>
  <c r="B15" i="37" s="1"/>
  <c r="I15" i="9"/>
  <c r="D15" i="37"/>
  <c r="J15" i="9"/>
  <c r="N13" i="9"/>
  <c r="P13" i="9" s="1"/>
  <c r="W13" i="9" s="1"/>
  <c r="N14" i="37"/>
  <c r="P14" i="37" s="1"/>
  <c r="W14" i="37" s="1"/>
  <c r="F13" i="37"/>
  <c r="N14" i="9"/>
  <c r="P14" i="9" s="1"/>
  <c r="W14" i="9" s="1"/>
  <c r="G10" i="37"/>
  <c r="N8" i="9"/>
  <c r="E8" i="37"/>
  <c r="E10" i="37" s="1"/>
  <c r="F10" i="9"/>
  <c r="C10" i="9"/>
  <c r="D8" i="37"/>
  <c r="H8" i="37"/>
  <c r="H10" i="37" s="1"/>
  <c r="C9" i="37"/>
  <c r="C10" i="37" s="1"/>
  <c r="F10" i="37"/>
  <c r="K10" i="9"/>
  <c r="F33" i="37"/>
  <c r="B33" i="37"/>
  <c r="B33" i="9"/>
  <c r="D34" i="37"/>
  <c r="D33" i="37" s="1"/>
  <c r="I33" i="9"/>
  <c r="F33" i="9"/>
  <c r="N34" i="9"/>
  <c r="P34" i="9" s="1"/>
  <c r="W34" i="9" s="1"/>
  <c r="C34" i="37"/>
  <c r="C33" i="37" s="1"/>
  <c r="K33" i="9"/>
  <c r="D60" i="36"/>
  <c r="N58" i="36"/>
  <c r="AD58" i="36" s="1"/>
  <c r="C54" i="36"/>
  <c r="C60" i="36" s="1"/>
  <c r="N56" i="36"/>
  <c r="P56" i="36" s="1"/>
  <c r="W56" i="36" s="1"/>
  <c r="N53" i="8"/>
  <c r="P53" i="8" s="1"/>
  <c r="W53" i="8" s="1"/>
  <c r="D58" i="8"/>
  <c r="I58" i="8"/>
  <c r="B49" i="36"/>
  <c r="M48" i="8"/>
  <c r="E47" i="36"/>
  <c r="E49" i="36" s="1"/>
  <c r="H49" i="36"/>
  <c r="D48" i="36"/>
  <c r="N48" i="36" s="1"/>
  <c r="N46" i="8"/>
  <c r="P46" i="8" s="1"/>
  <c r="N42" i="8"/>
  <c r="P42" i="8" s="1"/>
  <c r="P43" i="8" s="1"/>
  <c r="C43" i="36"/>
  <c r="J37" i="36"/>
  <c r="L37" i="36"/>
  <c r="I37" i="36"/>
  <c r="K37" i="36"/>
  <c r="B38" i="36"/>
  <c r="H37" i="36"/>
  <c r="G37" i="36"/>
  <c r="F37" i="36"/>
  <c r="N36" i="8"/>
  <c r="P36" i="8" s="1"/>
  <c r="W36" i="8" s="1"/>
  <c r="J36" i="36"/>
  <c r="L37" i="8"/>
  <c r="H37" i="8"/>
  <c r="G37" i="8"/>
  <c r="E37" i="8"/>
  <c r="B37" i="8"/>
  <c r="N35" i="8"/>
  <c r="P35" i="8" s="1"/>
  <c r="W35" i="8" s="1"/>
  <c r="O37" i="14"/>
  <c r="H39" i="14"/>
  <c r="H50" i="14" s="1"/>
  <c r="H61" i="14" s="1"/>
  <c r="D31" i="36"/>
  <c r="D32" i="36" s="1"/>
  <c r="I31" i="36"/>
  <c r="I32" i="36" s="1"/>
  <c r="G27" i="8"/>
  <c r="F39" i="14"/>
  <c r="F50" i="14" s="1"/>
  <c r="F61" i="14" s="1"/>
  <c r="F27" i="36"/>
  <c r="E39" i="14"/>
  <c r="E50" i="14" s="1"/>
  <c r="E61" i="14" s="1"/>
  <c r="B19" i="36"/>
  <c r="M19" i="36" s="1"/>
  <c r="F21" i="36"/>
  <c r="B22" i="36"/>
  <c r="M22" i="36" s="1"/>
  <c r="L23" i="8"/>
  <c r="E23" i="8"/>
  <c r="M23" i="8"/>
  <c r="F23" i="8"/>
  <c r="C23" i="8"/>
  <c r="F11" i="36"/>
  <c r="H11" i="36"/>
  <c r="J14" i="36"/>
  <c r="K14" i="36"/>
  <c r="L14" i="36"/>
  <c r="H14" i="36"/>
  <c r="I14" i="36"/>
  <c r="F14" i="36"/>
  <c r="E14" i="36"/>
  <c r="N12" i="8"/>
  <c r="P12" i="8" s="1"/>
  <c r="W12" i="8" s="1"/>
  <c r="G12" i="36"/>
  <c r="K12" i="36"/>
  <c r="B16" i="8"/>
  <c r="E12" i="36"/>
  <c r="M16" i="8"/>
  <c r="D16" i="8"/>
  <c r="AH12" i="30"/>
  <c r="AJ12" i="30" s="1"/>
  <c r="AH13" i="30"/>
  <c r="AJ13" i="30" s="1"/>
  <c r="AH14" i="30"/>
  <c r="AJ14" i="30" s="1"/>
  <c r="AH32" i="30"/>
  <c r="AJ32" i="30" s="1"/>
  <c r="AT19" i="30"/>
  <c r="AV19" i="30" s="1"/>
  <c r="AT16" i="30"/>
  <c r="AV16" i="30" s="1"/>
  <c r="AT14" i="30"/>
  <c r="AT8" i="30"/>
  <c r="AV8" i="30" s="1"/>
  <c r="AV41" i="30"/>
  <c r="AT9" i="30"/>
  <c r="AV9" i="30" s="1"/>
  <c r="AG22" i="30"/>
  <c r="AH22" i="30" s="1"/>
  <c r="AJ22" i="30" s="1"/>
  <c r="AY19" i="30"/>
  <c r="AY6" i="30"/>
  <c r="AW28" i="30"/>
  <c r="AW21" i="30"/>
  <c r="AV52" i="30"/>
  <c r="AY22" i="30"/>
  <c r="AW31" i="30"/>
  <c r="AX22" i="30"/>
  <c r="AY8" i="30"/>
  <c r="AX7" i="30"/>
  <c r="AW18" i="30"/>
  <c r="AY16" i="30"/>
  <c r="AX15" i="30"/>
  <c r="AW14" i="30"/>
  <c r="AY12" i="30"/>
  <c r="AX11" i="30"/>
  <c r="AW10" i="30"/>
  <c r="AH7" i="30"/>
  <c r="AJ7" i="30" s="1"/>
  <c r="AH15" i="30"/>
  <c r="AJ15" i="30" s="1"/>
  <c r="AQ34" i="30"/>
  <c r="AT21" i="30"/>
  <c r="AV21" i="30" s="1"/>
  <c r="AT18" i="30"/>
  <c r="AV18" i="30" s="1"/>
  <c r="AT15" i="30"/>
  <c r="AV15" i="30" s="1"/>
  <c r="AT11" i="30"/>
  <c r="AV11" i="30" s="1"/>
  <c r="AT10" i="30"/>
  <c r="AV10" i="30" s="1"/>
  <c r="BA47" i="30"/>
  <c r="AV44" i="30"/>
  <c r="AV39" i="30"/>
  <c r="AV43" i="30"/>
  <c r="AV46" i="30"/>
  <c r="AZ43" i="30"/>
  <c r="BB46" i="30"/>
  <c r="AU42" i="30"/>
  <c r="AU48" i="30" s="1"/>
  <c r="AU53" i="30" s="1"/>
  <c r="AU54" i="30" s="1"/>
  <c r="BA17" i="30"/>
  <c r="BA13" i="30"/>
  <c r="BA9" i="30"/>
  <c r="BA28" i="30"/>
  <c r="BA32" i="30"/>
  <c r="AT28" i="30"/>
  <c r="AV28" i="30" s="1"/>
  <c r="AR34" i="30"/>
  <c r="AT25" i="30"/>
  <c r="AV25" i="30" s="1"/>
  <c r="AT32" i="30"/>
  <c r="AV32" i="30" s="1"/>
  <c r="BB41" i="30"/>
  <c r="L34" i="30"/>
  <c r="L54" i="30" s="1"/>
  <c r="AH35" i="30"/>
  <c r="AJ35" i="30" s="1"/>
  <c r="AH23" i="30"/>
  <c r="AJ23" i="30" s="1"/>
  <c r="AO15" i="30"/>
  <c r="AP15" i="30" s="1"/>
  <c r="AW29" i="30"/>
  <c r="AW9" i="30"/>
  <c r="AY7" i="30"/>
  <c r="J34" i="30"/>
  <c r="J54" i="30" s="1"/>
  <c r="AE34" i="30"/>
  <c r="AH6" i="30"/>
  <c r="AJ6" i="30" s="1"/>
  <c r="AJ34" i="30" s="1"/>
  <c r="AJ54" i="30" s="1"/>
  <c r="AH30" i="30"/>
  <c r="AJ30" i="30" s="1"/>
  <c r="AT6" i="30"/>
  <c r="AV6" i="30" s="1"/>
  <c r="BA21" i="30"/>
  <c r="M34" i="30"/>
  <c r="AH25" i="30"/>
  <c r="AJ25" i="30" s="1"/>
  <c r="AX25" i="30"/>
  <c r="AW17" i="30"/>
  <c r="AY15" i="30"/>
  <c r="AX14" i="30"/>
  <c r="AW13" i="30"/>
  <c r="AY11" i="30"/>
  <c r="AX10" i="30"/>
  <c r="AH8" i="30"/>
  <c r="AJ8" i="30" s="1"/>
  <c r="AH10" i="30"/>
  <c r="AJ10" i="30" s="1"/>
  <c r="AH11" i="30"/>
  <c r="AJ11" i="30" s="1"/>
  <c r="AV45" i="30"/>
  <c r="AZ52" i="30"/>
  <c r="AZ39" i="30"/>
  <c r="BB39" i="30" s="1"/>
  <c r="AO12" i="30"/>
  <c r="AP12" i="30" s="1"/>
  <c r="AY30" i="30"/>
  <c r="AW23" i="30"/>
  <c r="AW20" i="30"/>
  <c r="AT23" i="30"/>
  <c r="AV23" i="30" s="1"/>
  <c r="BA22" i="30"/>
  <c r="AO20" i="30"/>
  <c r="AO13" i="30"/>
  <c r="AO8" i="30"/>
  <c r="AO24" i="30"/>
  <c r="AP24" i="30" s="1"/>
  <c r="AO22" i="30"/>
  <c r="AO19" i="30"/>
  <c r="AO11" i="30"/>
  <c r="AO10" i="30"/>
  <c r="O34" i="30"/>
  <c r="N34" i="30"/>
  <c r="AZ44" i="30"/>
  <c r="BB44" i="30" s="1"/>
  <c r="AO25" i="30"/>
  <c r="AO17" i="30"/>
  <c r="AO7" i="30"/>
  <c r="AZ7" i="30" s="1"/>
  <c r="BB7" i="30" s="1"/>
  <c r="AO16" i="30"/>
  <c r="E43" i="9"/>
  <c r="N34" i="8"/>
  <c r="P34" i="8" s="1"/>
  <c r="W34" i="8" s="1"/>
  <c r="N26" i="8"/>
  <c r="P26" i="8" s="1"/>
  <c r="P27" i="8" s="1"/>
  <c r="F26" i="36"/>
  <c r="N58" i="37"/>
  <c r="O23" i="14"/>
  <c r="I13" i="36"/>
  <c r="J13" i="36"/>
  <c r="E13" i="36"/>
  <c r="M13" i="36"/>
  <c r="K13" i="36"/>
  <c r="G13" i="36"/>
  <c r="F13" i="36"/>
  <c r="C39" i="14"/>
  <c r="C50" i="14" s="1"/>
  <c r="C61" i="14" s="1"/>
  <c r="H23" i="8"/>
  <c r="D10" i="36"/>
  <c r="I11" i="36"/>
  <c r="C16" i="8"/>
  <c r="G11" i="36"/>
  <c r="C10" i="36"/>
  <c r="C16" i="36" s="1"/>
  <c r="B16" i="36"/>
  <c r="O16" i="14"/>
  <c r="N10" i="8"/>
  <c r="P10" i="8" s="1"/>
  <c r="W10" i="8" s="1"/>
  <c r="J12" i="36"/>
  <c r="H12" i="36"/>
  <c r="N44" i="9"/>
  <c r="P44" i="9" s="1"/>
  <c r="W44" i="9" s="1"/>
  <c r="M38" i="9"/>
  <c r="N61" i="5"/>
  <c r="N63" i="5" s="1"/>
  <c r="M15" i="9"/>
  <c r="O59" i="14"/>
  <c r="M58" i="8"/>
  <c r="M37" i="8"/>
  <c r="N56" i="8"/>
  <c r="N13" i="8"/>
  <c r="P13" i="8" s="1"/>
  <c r="W13" i="8" s="1"/>
  <c r="N45" i="9"/>
  <c r="P45" i="9" s="1"/>
  <c r="W45" i="9" s="1"/>
  <c r="L43" i="9"/>
  <c r="L38" i="9"/>
  <c r="K15" i="9"/>
  <c r="L58" i="8"/>
  <c r="L48" i="8"/>
  <c r="L16" i="8"/>
  <c r="N11" i="8"/>
  <c r="P11" i="8" s="1"/>
  <c r="W11" i="8" s="1"/>
  <c r="L27" i="8"/>
  <c r="M39" i="14"/>
  <c r="M50" i="14" s="1"/>
  <c r="M61" i="14" s="1"/>
  <c r="N49" i="9"/>
  <c r="P49" i="9" s="1"/>
  <c r="W49" i="9" s="1"/>
  <c r="K43" i="9"/>
  <c r="K23" i="8"/>
  <c r="Y14" i="9"/>
  <c r="Y50" i="9"/>
  <c r="Y13" i="9"/>
  <c r="Y20" i="9"/>
  <c r="Y55" i="9"/>
  <c r="J4" i="25"/>
  <c r="F4" i="25"/>
  <c r="B4" i="25"/>
  <c r="Y34" i="9"/>
  <c r="Y9" i="9"/>
  <c r="Y15" i="9"/>
  <c r="Y51" i="9"/>
  <c r="Y58" i="9"/>
  <c r="M4" i="25"/>
  <c r="I4" i="25"/>
  <c r="E4" i="25"/>
  <c r="Y28" i="9"/>
  <c r="Y47" i="9"/>
  <c r="Y17" i="9"/>
  <c r="Y16" i="9"/>
  <c r="Y19" i="9"/>
  <c r="Y49" i="9"/>
  <c r="L4" i="25"/>
  <c r="H4" i="25"/>
  <c r="Y55" i="8"/>
  <c r="Y53" i="8"/>
  <c r="Y22" i="8"/>
  <c r="Y42" i="8"/>
  <c r="Y19" i="8"/>
  <c r="Y36" i="8"/>
  <c r="Y26" i="8"/>
  <c r="Y15" i="8"/>
  <c r="Y54" i="8"/>
  <c r="Y14" i="8"/>
  <c r="Y35" i="8"/>
  <c r="Y12" i="8"/>
  <c r="Y21" i="8"/>
  <c r="Y13" i="8"/>
  <c r="Y34" i="8"/>
  <c r="Y30" i="8"/>
  <c r="J15" i="10"/>
  <c r="J21" i="10"/>
  <c r="K9" i="10" s="1"/>
  <c r="F12" i="36"/>
  <c r="F62" i="13"/>
  <c r="F64" i="13" s="1"/>
  <c r="F64" i="27" s="1"/>
  <c r="N62" i="13"/>
  <c r="N64" i="13" s="1"/>
  <c r="N64" i="27" s="1"/>
  <c r="O55" i="13"/>
  <c r="C62" i="13"/>
  <c r="C64" i="13" s="1"/>
  <c r="C64" i="27" s="1"/>
  <c r="J62" i="13"/>
  <c r="J64" i="13" s="1"/>
  <c r="J64" i="27" s="1"/>
  <c r="J51" i="17"/>
  <c r="J62" i="17" s="1"/>
  <c r="L64" i="26"/>
  <c r="D64" i="27"/>
  <c r="L12" i="36"/>
  <c r="E61" i="6"/>
  <c r="E63" i="6" s="1"/>
  <c r="O54" i="6"/>
  <c r="G61" i="6"/>
  <c r="G63" i="6" s="1"/>
  <c r="G64" i="17" s="1"/>
  <c r="M61" i="6"/>
  <c r="M63" i="6" s="1"/>
  <c r="AO23" i="30"/>
  <c r="AY23" i="30"/>
  <c r="I12" i="36"/>
  <c r="M12" i="36"/>
  <c r="I61" i="5"/>
  <c r="I63" i="5" s="1"/>
  <c r="M61" i="5"/>
  <c r="M63" i="5" s="1"/>
  <c r="O49" i="5"/>
  <c r="O21" i="6"/>
  <c r="J61" i="6"/>
  <c r="J63" i="6" s="1"/>
  <c r="J64" i="17" s="1"/>
  <c r="N61" i="6"/>
  <c r="N63" i="6" s="1"/>
  <c r="N64" i="17" s="1"/>
  <c r="O51" i="17"/>
  <c r="O62" i="17" s="1"/>
  <c r="H51" i="17"/>
  <c r="H62" i="17" s="1"/>
  <c r="H22" i="10"/>
  <c r="I10" i="10" s="1"/>
  <c r="H16" i="10"/>
  <c r="H64" i="18"/>
  <c r="H64" i="26" s="1"/>
  <c r="D61" i="5"/>
  <c r="D63" i="5" s="1"/>
  <c r="O54" i="5"/>
  <c r="E61" i="5"/>
  <c r="E63" i="5" s="1"/>
  <c r="O38" i="13"/>
  <c r="G62" i="13"/>
  <c r="G64" i="13" s="1"/>
  <c r="G64" i="27" s="1"/>
  <c r="H62" i="13"/>
  <c r="H64" i="13" s="1"/>
  <c r="H64" i="27" s="1"/>
  <c r="C64" i="26"/>
  <c r="L64" i="27"/>
  <c r="E64" i="27"/>
  <c r="I64" i="27"/>
  <c r="D64" i="26"/>
  <c r="AP17" i="30"/>
  <c r="AP7" i="30"/>
  <c r="AX31" i="30"/>
  <c r="AO30" i="30"/>
  <c r="AW30" i="30"/>
  <c r="E51" i="15"/>
  <c r="E62" i="15" s="1"/>
  <c r="E64" i="15" s="1"/>
  <c r="I51" i="15"/>
  <c r="I62" i="15" s="1"/>
  <c r="I64" i="15" s="1"/>
  <c r="M51" i="15"/>
  <c r="M62" i="15" s="1"/>
  <c r="M64" i="15" s="1"/>
  <c r="B23" i="10"/>
  <c r="C8" i="10"/>
  <c r="F64" i="18"/>
  <c r="F64" i="26" s="1"/>
  <c r="J64" i="18"/>
  <c r="J64" i="26" s="1"/>
  <c r="O16" i="19"/>
  <c r="O40" i="19" s="1"/>
  <c r="O51" i="19" s="1"/>
  <c r="O62" i="19" s="1"/>
  <c r="O64" i="19" s="1"/>
  <c r="E62" i="20"/>
  <c r="E64" i="20" s="1"/>
  <c r="M62" i="20"/>
  <c r="M64" i="20" s="1"/>
  <c r="M64" i="19" s="1"/>
  <c r="K51" i="27"/>
  <c r="K62" i="27" s="1"/>
  <c r="K64" i="27" s="1"/>
  <c r="I64" i="28"/>
  <c r="O10" i="5"/>
  <c r="C40" i="17"/>
  <c r="C51" i="17" s="1"/>
  <c r="C62" i="17" s="1"/>
  <c r="E51" i="17"/>
  <c r="E62" i="17" s="1"/>
  <c r="I51" i="17"/>
  <c r="I62" i="17" s="1"/>
  <c r="I64" i="17" s="1"/>
  <c r="M51" i="17"/>
  <c r="M62" i="17" s="1"/>
  <c r="L51" i="17"/>
  <c r="L62" i="17" s="1"/>
  <c r="E64" i="19"/>
  <c r="D51" i="19"/>
  <c r="D62" i="19" s="1"/>
  <c r="D64" i="19" s="1"/>
  <c r="H51" i="19"/>
  <c r="H62" i="19" s="1"/>
  <c r="H64" i="19" s="1"/>
  <c r="K64" i="26"/>
  <c r="AW6" i="30"/>
  <c r="AL34" i="30"/>
  <c r="AO6" i="30"/>
  <c r="AX32" i="30"/>
  <c r="AO32" i="30"/>
  <c r="I64" i="26"/>
  <c r="D39" i="14"/>
  <c r="D50" i="14" s="1"/>
  <c r="D61" i="14" s="1"/>
  <c r="N64" i="19"/>
  <c r="M64" i="28"/>
  <c r="F51" i="31"/>
  <c r="F62" i="31" s="1"/>
  <c r="F64" i="31" s="1"/>
  <c r="AZ12" i="30"/>
  <c r="BB12" i="30" s="1"/>
  <c r="Q34" i="30"/>
  <c r="Q54" i="30" s="1"/>
  <c r="BA6" i="30"/>
  <c r="BA34" i="30" s="1"/>
  <c r="BA54" i="30" s="1"/>
  <c r="R50" i="8"/>
  <c r="R60" i="8" s="1"/>
  <c r="R62" i="8" s="1"/>
  <c r="AS29" i="30"/>
  <c r="AB29" i="30"/>
  <c r="AD29" i="30" s="1"/>
  <c r="AD34" i="30" s="1"/>
  <c r="AD54" i="30" s="1"/>
  <c r="N67" i="37"/>
  <c r="N69" i="37"/>
  <c r="Z69" i="37" s="1"/>
  <c r="AK15" i="38"/>
  <c r="AJ22" i="38"/>
  <c r="AT42" i="30"/>
  <c r="AT48" i="30" s="1"/>
  <c r="AT53" i="30" s="1"/>
  <c r="BA43" i="30"/>
  <c r="BA52" i="30"/>
  <c r="T39" i="8"/>
  <c r="T50" i="8" s="1"/>
  <c r="T60" i="8" s="1"/>
  <c r="T62" i="8" s="1"/>
  <c r="N64" i="32"/>
  <c r="N64" i="31" s="1"/>
  <c r="I64" i="32"/>
  <c r="E51" i="31"/>
  <c r="E62" i="31" s="1"/>
  <c r="E64" i="31" s="1"/>
  <c r="F15" i="37"/>
  <c r="G21" i="37"/>
  <c r="C74" i="37"/>
  <c r="E74" i="37"/>
  <c r="L68" i="34"/>
  <c r="O68" i="34"/>
  <c r="Q63" i="34"/>
  <c r="N68" i="37"/>
  <c r="Z68" i="37" s="1"/>
  <c r="Q51" i="36"/>
  <c r="Q62" i="36" s="1"/>
  <c r="Q64" i="36" s="1"/>
  <c r="N73" i="37"/>
  <c r="AD73" i="37" s="1"/>
  <c r="I64" i="31"/>
  <c r="J40" i="31"/>
  <c r="J51" i="31"/>
  <c r="J62" i="31" s="1"/>
  <c r="J64" i="31" s="1"/>
  <c r="F11" i="33"/>
  <c r="D19" i="33"/>
  <c r="F19" i="33" s="1"/>
  <c r="N70" i="37"/>
  <c r="Z70" i="37" s="1"/>
  <c r="L8" i="38"/>
  <c r="N8" i="38"/>
  <c r="G43" i="37"/>
  <c r="F24" i="33"/>
  <c r="D37" i="33"/>
  <c r="Q58" i="34"/>
  <c r="J38" i="37"/>
  <c r="N39" i="37"/>
  <c r="N72" i="37"/>
  <c r="AC72" i="37" s="1"/>
  <c r="Q15" i="34"/>
  <c r="Q57" i="34"/>
  <c r="N20" i="37"/>
  <c r="R51" i="36"/>
  <c r="R62" i="36" s="1"/>
  <c r="R64" i="36" s="1"/>
  <c r="AI11" i="38"/>
  <c r="AI29" i="38" s="1"/>
  <c r="AD10" i="38"/>
  <c r="AD29" i="38" s="1"/>
  <c r="AE10" i="38"/>
  <c r="AE29" i="38" s="1"/>
  <c r="R10" i="38"/>
  <c r="S10" i="38" s="1"/>
  <c r="AJ12" i="38"/>
  <c r="AJ30" i="38" s="1"/>
  <c r="AF12" i="38"/>
  <c r="AF30" i="38" s="1"/>
  <c r="AM12" i="38"/>
  <c r="AM30" i="38" s="1"/>
  <c r="L30" i="37" s="1"/>
  <c r="K11" i="36"/>
  <c r="L11" i="36"/>
  <c r="M11" i="36"/>
  <c r="M14" i="36"/>
  <c r="G14" i="36"/>
  <c r="J20" i="36"/>
  <c r="E20" i="36"/>
  <c r="L20" i="36"/>
  <c r="F20" i="36"/>
  <c r="D28" i="36"/>
  <c r="U40" i="36"/>
  <c r="U51" i="36" s="1"/>
  <c r="U62" i="36" s="1"/>
  <c r="U64" i="36" s="1"/>
  <c r="AE12" i="38"/>
  <c r="AE30" i="38" s="1"/>
  <c r="AK12" i="38"/>
  <c r="AK30" i="38" s="1"/>
  <c r="AD12" i="38"/>
  <c r="AD30" i="38" s="1"/>
  <c r="AF10" i="38"/>
  <c r="AF29" i="38" s="1"/>
  <c r="AN11" i="38"/>
  <c r="AN29" i="38" s="1"/>
  <c r="M29" i="37" s="1"/>
  <c r="AM11" i="38"/>
  <c r="AM29" i="38" s="1"/>
  <c r="L29" i="37" s="1"/>
  <c r="AL11" i="38"/>
  <c r="AL29" i="38" s="1"/>
  <c r="K29" i="37" s="1"/>
  <c r="W11" i="38"/>
  <c r="X11" i="38" s="1"/>
  <c r="Y11" i="38" s="1"/>
  <c r="Z11" i="38" s="1"/>
  <c r="AA11" i="38" s="1"/>
  <c r="J11" i="36"/>
  <c r="H20" i="36"/>
  <c r="K21" i="36"/>
  <c r="G21" i="36"/>
  <c r="M21" i="36"/>
  <c r="H21" i="36"/>
  <c r="I21" i="36"/>
  <c r="F35" i="36"/>
  <c r="K35" i="36"/>
  <c r="I35" i="36"/>
  <c r="I38" i="36" s="1"/>
  <c r="I57" i="36"/>
  <c r="K57" i="36"/>
  <c r="E37" i="33"/>
  <c r="Q59" i="34"/>
  <c r="AB57" i="37"/>
  <c r="AB16" i="37"/>
  <c r="AB15" i="37" s="1"/>
  <c r="AB45" i="37"/>
  <c r="AB43" i="37" s="1"/>
  <c r="AB71" i="37"/>
  <c r="AB27" i="37"/>
  <c r="AB49" i="37"/>
  <c r="AB48" i="37" s="1"/>
  <c r="AB70" i="37"/>
  <c r="AB22" i="37"/>
  <c r="AB14" i="37"/>
  <c r="AB69" i="37"/>
  <c r="AB35" i="37"/>
  <c r="AB37" i="37"/>
  <c r="R61" i="37"/>
  <c r="R63" i="37" s="1"/>
  <c r="R12" i="38"/>
  <c r="S12" i="38" s="1"/>
  <c r="AG12" i="38"/>
  <c r="AG30" i="38" s="1"/>
  <c r="AN12" i="38"/>
  <c r="AN30" i="38" s="1"/>
  <c r="M30" i="37" s="1"/>
  <c r="R7" i="38"/>
  <c r="S7" i="38" s="1"/>
  <c r="AG10" i="38"/>
  <c r="AG29" i="38" s="1"/>
  <c r="AH11" i="38"/>
  <c r="AH29" i="38" s="1"/>
  <c r="L5" i="38"/>
  <c r="V8" i="38"/>
  <c r="L11" i="38"/>
  <c r="R11" i="38" s="1"/>
  <c r="S11" i="38" s="1"/>
  <c r="I20" i="36"/>
  <c r="L21" i="36"/>
  <c r="J35" i="36"/>
  <c r="F57" i="36"/>
  <c r="B38" i="37"/>
  <c r="H38" i="37"/>
  <c r="Q3" i="34"/>
  <c r="N68" i="34"/>
  <c r="Q5" i="34"/>
  <c r="AC55" i="36"/>
  <c r="AC12" i="38"/>
  <c r="AC30" i="38" s="1"/>
  <c r="AC7" i="38"/>
  <c r="AC10" i="38"/>
  <c r="AC29" i="38" s="1"/>
  <c r="AK11" i="38"/>
  <c r="AK29" i="38" s="1"/>
  <c r="AJ11" i="38"/>
  <c r="AJ29" i="38" s="1"/>
  <c r="AK13" i="38"/>
  <c r="AK23" i="38" s="1"/>
  <c r="AG13" i="38"/>
  <c r="AG23" i="38" s="1"/>
  <c r="AN13" i="38"/>
  <c r="AN23" i="38" s="1"/>
  <c r="M23" i="37" s="1"/>
  <c r="AH13" i="38"/>
  <c r="AH23" i="38" s="1"/>
  <c r="AD13" i="38"/>
  <c r="AD23" i="38" s="1"/>
  <c r="R13" i="38"/>
  <c r="S13" i="38" s="1"/>
  <c r="M6" i="38"/>
  <c r="Z12" i="38"/>
  <c r="AA12" i="38" s="1"/>
  <c r="M20" i="36"/>
  <c r="E21" i="36"/>
  <c r="M35" i="36"/>
  <c r="K36" i="36"/>
  <c r="G57" i="36"/>
  <c r="Y29" i="37"/>
  <c r="E11" i="36"/>
  <c r="K20" i="36"/>
  <c r="G20" i="36"/>
  <c r="M37" i="36"/>
  <c r="E37" i="36"/>
  <c r="L57" i="36"/>
  <c r="J57" i="36"/>
  <c r="E57" i="36"/>
  <c r="K58" i="8"/>
  <c r="G58" i="8"/>
  <c r="F59" i="37"/>
  <c r="F54" i="37" s="1"/>
  <c r="O21" i="21"/>
  <c r="G43" i="9"/>
  <c r="E58" i="8"/>
  <c r="O48" i="29"/>
  <c r="K16" i="8"/>
  <c r="J10" i="9"/>
  <c r="F58" i="8"/>
  <c r="N15" i="8"/>
  <c r="P15" i="8" s="1"/>
  <c r="W15" i="8" s="1"/>
  <c r="D15" i="36"/>
  <c r="E15" i="36" s="1"/>
  <c r="E48" i="9"/>
  <c r="O21" i="11"/>
  <c r="Y25" i="37"/>
  <c r="E35" i="36"/>
  <c r="K38" i="9"/>
  <c r="I10" i="9"/>
  <c r="G16" i="8"/>
  <c r="F38" i="9"/>
  <c r="E59" i="37"/>
  <c r="E54" i="37" s="1"/>
  <c r="O55" i="18"/>
  <c r="J15" i="37"/>
  <c r="N50" i="37"/>
  <c r="AC50" i="37" s="1"/>
  <c r="P55" i="9"/>
  <c r="W55" i="9" s="1"/>
  <c r="J58" i="8"/>
  <c r="I23" i="8"/>
  <c r="N50" i="9"/>
  <c r="O48" i="21"/>
  <c r="O48" i="16"/>
  <c r="O38" i="15"/>
  <c r="O40" i="31"/>
  <c r="O51" i="31" s="1"/>
  <c r="O62" i="31" s="1"/>
  <c r="O55" i="12"/>
  <c r="O48" i="18"/>
  <c r="O15" i="11"/>
  <c r="O55" i="11"/>
  <c r="O16" i="28"/>
  <c r="N28" i="9"/>
  <c r="N27" i="9"/>
  <c r="J38" i="9"/>
  <c r="I38" i="9"/>
  <c r="N17" i="37"/>
  <c r="P17" i="37" s="1"/>
  <c r="W17" i="37" s="1"/>
  <c r="H58" i="8"/>
  <c r="E16" i="8"/>
  <c r="C37" i="8"/>
  <c r="O15" i="21"/>
  <c r="O33" i="16"/>
  <c r="O43" i="12"/>
  <c r="O38" i="18"/>
  <c r="O43" i="18"/>
  <c r="O33" i="29"/>
  <c r="O43" i="29"/>
  <c r="O23" i="28"/>
  <c r="G34" i="37"/>
  <c r="G33" i="9"/>
  <c r="O34" i="5"/>
  <c r="D23" i="8"/>
  <c r="B23" i="8"/>
  <c r="O55" i="21"/>
  <c r="O62" i="21" s="1"/>
  <c r="O64" i="21" s="1"/>
  <c r="O21" i="16"/>
  <c r="O38" i="16"/>
  <c r="O38" i="32"/>
  <c r="O55" i="32"/>
  <c r="O40" i="26"/>
  <c r="O33" i="11"/>
  <c r="O21" i="29"/>
  <c r="O40" i="28"/>
  <c r="O49" i="28"/>
  <c r="O51" i="28" s="1"/>
  <c r="O62" i="28" s="1"/>
  <c r="E33" i="9"/>
  <c r="O16" i="15"/>
  <c r="O21" i="12"/>
  <c r="O48" i="12"/>
  <c r="O15" i="18"/>
  <c r="O49" i="26"/>
  <c r="O51" i="26" s="1"/>
  <c r="O62" i="26" s="1"/>
  <c r="O40" i="1"/>
  <c r="O51" i="1" s="1"/>
  <c r="O62" i="1" s="1"/>
  <c r="O38" i="29"/>
  <c r="O55" i="29"/>
  <c r="N29" i="9"/>
  <c r="O55" i="16"/>
  <c r="O62" i="16" s="1"/>
  <c r="O64" i="16" s="1"/>
  <c r="O33" i="32"/>
  <c r="O60" i="31"/>
  <c r="O10" i="12"/>
  <c r="J33" i="9"/>
  <c r="N22" i="9"/>
  <c r="Y37" i="9"/>
  <c r="Y45" i="9"/>
  <c r="Y40" i="9"/>
  <c r="O43" i="11"/>
  <c r="N25" i="9"/>
  <c r="Y22" i="9"/>
  <c r="Y44" i="9"/>
  <c r="G27" i="36"/>
  <c r="G28" i="36" s="1"/>
  <c r="I27" i="36"/>
  <c r="I28" i="36" s="1"/>
  <c r="E27" i="36"/>
  <c r="M27" i="36"/>
  <c r="M28" i="36" s="1"/>
  <c r="J27" i="36"/>
  <c r="J28" i="36" s="1"/>
  <c r="H27" i="36"/>
  <c r="H28" i="36" s="1"/>
  <c r="L27" i="36"/>
  <c r="L28" i="36" s="1"/>
  <c r="Y30" i="9"/>
  <c r="Y25" i="9"/>
  <c r="Y35" i="9"/>
  <c r="Y41" i="9"/>
  <c r="Y29" i="9"/>
  <c r="Y26" i="9"/>
  <c r="Y24" i="9"/>
  <c r="Y39" i="9"/>
  <c r="J56" i="37"/>
  <c r="J54" i="37" s="1"/>
  <c r="J48" i="37"/>
  <c r="K38" i="37"/>
  <c r="L40" i="37"/>
  <c r="M40" i="37" s="1"/>
  <c r="O39" i="5"/>
  <c r="K37" i="37"/>
  <c r="L37" i="37" s="1"/>
  <c r="M37" i="37" s="1"/>
  <c r="J21" i="37"/>
  <c r="N23" i="37"/>
  <c r="L13" i="37"/>
  <c r="AB38" i="36"/>
  <c r="K27" i="14"/>
  <c r="K39" i="14" s="1"/>
  <c r="K50" i="14" s="1"/>
  <c r="K61" i="14" s="1"/>
  <c r="J27" i="8"/>
  <c r="I43" i="9"/>
  <c r="M41" i="37"/>
  <c r="I38" i="37"/>
  <c r="J61" i="5"/>
  <c r="J63" i="5" s="1"/>
  <c r="N30" i="9"/>
  <c r="P30" i="9" s="1"/>
  <c r="W30" i="9" s="1"/>
  <c r="N26" i="9"/>
  <c r="N23" i="9"/>
  <c r="I27" i="8"/>
  <c r="J27" i="14"/>
  <c r="J39" i="14" s="1"/>
  <c r="J50" i="14" s="1"/>
  <c r="J61" i="14" s="1"/>
  <c r="H38" i="9"/>
  <c r="P56" i="9"/>
  <c r="W56" i="9" s="1"/>
  <c r="H43" i="37"/>
  <c r="H43" i="9"/>
  <c r="H15" i="37"/>
  <c r="AB16" i="36"/>
  <c r="AB23" i="36"/>
  <c r="AB44" i="36"/>
  <c r="AB60" i="36"/>
  <c r="AB49" i="36"/>
  <c r="P56" i="8" l="1"/>
  <c r="W56" i="8" s="1"/>
  <c r="AC56" i="8"/>
  <c r="X60" i="25"/>
  <c r="N35" i="37"/>
  <c r="Z35" i="37" s="1"/>
  <c r="AD55" i="36"/>
  <c r="B60" i="9"/>
  <c r="B62" i="9" s="1"/>
  <c r="F22" i="36"/>
  <c r="P30" i="8"/>
  <c r="W30" i="8" s="1"/>
  <c r="W31" i="8" s="1"/>
  <c r="N26" i="36"/>
  <c r="P26" i="36" s="1"/>
  <c r="W26" i="36" s="1"/>
  <c r="W28" i="36" s="1"/>
  <c r="E22" i="36"/>
  <c r="F39" i="8"/>
  <c r="F50" i="8" s="1"/>
  <c r="F60" i="8" s="1"/>
  <c r="K22" i="36"/>
  <c r="Z55" i="36"/>
  <c r="O62" i="8"/>
  <c r="Z20" i="9"/>
  <c r="Z25" i="9"/>
  <c r="AB31" i="9"/>
  <c r="AB30" i="9"/>
  <c r="AB29" i="9"/>
  <c r="AD29" i="9" s="1"/>
  <c r="AB28" i="9"/>
  <c r="AD28" i="9" s="1"/>
  <c r="AB27" i="9"/>
  <c r="AC27" i="9" s="1"/>
  <c r="Z17" i="9"/>
  <c r="N54" i="36"/>
  <c r="AD54" i="36" s="1"/>
  <c r="J15" i="36"/>
  <c r="Z12" i="8"/>
  <c r="AZ14" i="30"/>
  <c r="BB14" i="30" s="1"/>
  <c r="AZ17" i="30"/>
  <c r="BB17" i="30" s="1"/>
  <c r="BB47" i="30"/>
  <c r="BB52" i="30"/>
  <c r="BB43" i="30"/>
  <c r="AV14" i="30"/>
  <c r="AZ19" i="30"/>
  <c r="BB19" i="30" s="1"/>
  <c r="Z22" i="8"/>
  <c r="Z41" i="9"/>
  <c r="Z20" i="8"/>
  <c r="AB47" i="8"/>
  <c r="AC47" i="8" s="1"/>
  <c r="N23" i="8"/>
  <c r="R60" i="25"/>
  <c r="R62" i="25" s="1"/>
  <c r="AB46" i="8"/>
  <c r="AC46" i="8" s="1"/>
  <c r="I43" i="36"/>
  <c r="I44" i="36" s="1"/>
  <c r="Z35" i="8"/>
  <c r="W37" i="8"/>
  <c r="E10" i="36"/>
  <c r="E16" i="36" s="1"/>
  <c r="AD50" i="37"/>
  <c r="Z25" i="37"/>
  <c r="C60" i="9"/>
  <c r="C62" i="9" s="1"/>
  <c r="S62" i="8"/>
  <c r="N49" i="37"/>
  <c r="AC49" i="37" s="1"/>
  <c r="Z19" i="9"/>
  <c r="Z47" i="9"/>
  <c r="C63" i="14"/>
  <c r="H54" i="37"/>
  <c r="H61" i="37" s="1"/>
  <c r="H63" i="37" s="1"/>
  <c r="Z16" i="9"/>
  <c r="E28" i="36"/>
  <c r="J59" i="36"/>
  <c r="I10" i="36"/>
  <c r="K10" i="36"/>
  <c r="AD56" i="36"/>
  <c r="Z34" i="8"/>
  <c r="F10" i="36"/>
  <c r="J10" i="36"/>
  <c r="F59" i="36"/>
  <c r="M59" i="36"/>
  <c r="M60" i="36" s="1"/>
  <c r="I59" i="36"/>
  <c r="N9" i="37"/>
  <c r="Z9" i="37" s="1"/>
  <c r="L64" i="17"/>
  <c r="C64" i="17"/>
  <c r="Z14" i="9"/>
  <c r="M44" i="37"/>
  <c r="M43" i="37" s="1"/>
  <c r="Z14" i="37"/>
  <c r="N16" i="37"/>
  <c r="Z16" i="37" s="1"/>
  <c r="Z22" i="9"/>
  <c r="D60" i="9"/>
  <c r="D62" i="9" s="1"/>
  <c r="N48" i="8"/>
  <c r="Z56" i="8"/>
  <c r="AC58" i="36"/>
  <c r="E36" i="36"/>
  <c r="J38" i="36"/>
  <c r="G59" i="36"/>
  <c r="G60" i="36" s="1"/>
  <c r="H36" i="36"/>
  <c r="H38" i="36" s="1"/>
  <c r="J39" i="8"/>
  <c r="J50" i="8" s="1"/>
  <c r="J60" i="8" s="1"/>
  <c r="G39" i="8"/>
  <c r="G50" i="8" s="1"/>
  <c r="G60" i="8" s="1"/>
  <c r="M36" i="36"/>
  <c r="M38" i="36" s="1"/>
  <c r="N21" i="36"/>
  <c r="AD21" i="36" s="1"/>
  <c r="O64" i="8"/>
  <c r="Z21" i="8"/>
  <c r="H59" i="36"/>
  <c r="H60" i="36" s="1"/>
  <c r="L36" i="36"/>
  <c r="L38" i="36" s="1"/>
  <c r="F36" i="36"/>
  <c r="F38" i="36" s="1"/>
  <c r="G36" i="36"/>
  <c r="G38" i="36" s="1"/>
  <c r="D38" i="36"/>
  <c r="Z27" i="9"/>
  <c r="AC17" i="37"/>
  <c r="N21" i="9"/>
  <c r="P21" i="9" s="1"/>
  <c r="X62" i="25"/>
  <c r="AB30" i="8"/>
  <c r="AB31" i="8" s="1"/>
  <c r="AB11" i="8"/>
  <c r="AB14" i="8"/>
  <c r="AC14" i="8" s="1"/>
  <c r="AB22" i="8"/>
  <c r="AD22" i="8" s="1"/>
  <c r="AB57" i="8"/>
  <c r="AC57" i="8" s="1"/>
  <c r="AD34" i="8"/>
  <c r="AB53" i="8"/>
  <c r="AD53" i="8" s="1"/>
  <c r="AB13" i="8"/>
  <c r="AC13" i="8" s="1"/>
  <c r="AB21" i="8"/>
  <c r="AC21" i="8" s="1"/>
  <c r="AB42" i="8"/>
  <c r="AB43" i="8" s="1"/>
  <c r="AB12" i="8"/>
  <c r="AD12" i="8" s="1"/>
  <c r="AB15" i="8"/>
  <c r="AC15" i="8" s="1"/>
  <c r="AB26" i="8"/>
  <c r="AC26" i="8" s="1"/>
  <c r="AB54" i="8"/>
  <c r="AB36" i="8"/>
  <c r="AC36" i="8" s="1"/>
  <c r="AB19" i="8"/>
  <c r="AD19" i="8" s="1"/>
  <c r="AB55" i="8"/>
  <c r="AD55" i="8" s="1"/>
  <c r="AB20" i="8"/>
  <c r="AD20" i="8" s="1"/>
  <c r="AB35" i="8"/>
  <c r="AD35" i="8" s="1"/>
  <c r="AC47" i="37"/>
  <c r="AD47" i="37"/>
  <c r="Z47" i="37"/>
  <c r="P47" i="37"/>
  <c r="W47" i="37" s="1"/>
  <c r="AD17" i="37"/>
  <c r="Z50" i="37"/>
  <c r="Z17" i="37"/>
  <c r="E64" i="17"/>
  <c r="H64" i="17"/>
  <c r="Z57" i="37"/>
  <c r="L38" i="37"/>
  <c r="N15" i="9"/>
  <c r="P15" i="9" s="1"/>
  <c r="W15" i="9" s="1"/>
  <c r="Z54" i="8"/>
  <c r="Z55" i="8"/>
  <c r="AC56" i="36"/>
  <c r="L43" i="36"/>
  <c r="L44" i="36" s="1"/>
  <c r="Z14" i="8"/>
  <c r="J19" i="36"/>
  <c r="I39" i="8"/>
  <c r="I50" i="8" s="1"/>
  <c r="I60" i="8" s="1"/>
  <c r="AZ15" i="30"/>
  <c r="BB15" i="30" s="1"/>
  <c r="Y40" i="36"/>
  <c r="Y51" i="36" s="1"/>
  <c r="Y62" i="36" s="1"/>
  <c r="M10" i="36"/>
  <c r="D39" i="8"/>
  <c r="D50" i="8" s="1"/>
  <c r="D60" i="8" s="1"/>
  <c r="Z46" i="8"/>
  <c r="Z37" i="9"/>
  <c r="Z8" i="9"/>
  <c r="I61" i="37"/>
  <c r="I63" i="37" s="1"/>
  <c r="Y48" i="8"/>
  <c r="Z47" i="8"/>
  <c r="P19" i="8"/>
  <c r="W19" i="8" s="1"/>
  <c r="W23" i="8" s="1"/>
  <c r="Z19" i="8"/>
  <c r="Y58" i="8"/>
  <c r="H63" i="14"/>
  <c r="Z24" i="9"/>
  <c r="Z57" i="8"/>
  <c r="AB58" i="9"/>
  <c r="AB54" i="9"/>
  <c r="AC54" i="9" s="1"/>
  <c r="AB57" i="9"/>
  <c r="AB56" i="9"/>
  <c r="AB55" i="9"/>
  <c r="AB37" i="9"/>
  <c r="AC37" i="9" s="1"/>
  <c r="Z23" i="9"/>
  <c r="N56" i="37"/>
  <c r="AD56" i="37" s="1"/>
  <c r="C61" i="37"/>
  <c r="C63" i="37" s="1"/>
  <c r="E61" i="37"/>
  <c r="E63" i="37" s="1"/>
  <c r="AB14" i="9"/>
  <c r="AD14" i="9" s="1"/>
  <c r="AB50" i="9"/>
  <c r="AC50" i="9" s="1"/>
  <c r="AB51" i="9"/>
  <c r="AC51" i="9" s="1"/>
  <c r="Y43" i="9"/>
  <c r="AB26" i="9"/>
  <c r="AD26" i="9" s="1"/>
  <c r="AB44" i="9"/>
  <c r="AD44" i="9" s="1"/>
  <c r="AB40" i="9"/>
  <c r="AD40" i="9" s="1"/>
  <c r="Y53" i="9"/>
  <c r="P50" i="9"/>
  <c r="W50" i="9" s="1"/>
  <c r="P50" i="37"/>
  <c r="W50" i="37" s="1"/>
  <c r="P52" i="37"/>
  <c r="W52" i="37" s="1"/>
  <c r="D61" i="37"/>
  <c r="Z13" i="9"/>
  <c r="Z40" i="9"/>
  <c r="AD48" i="37"/>
  <c r="N74" i="37"/>
  <c r="Z50" i="9"/>
  <c r="AD66" i="37"/>
  <c r="AC66" i="37"/>
  <c r="C40" i="36"/>
  <c r="Z13" i="8"/>
  <c r="H10" i="36"/>
  <c r="G10" i="36"/>
  <c r="L43" i="37"/>
  <c r="P26" i="37"/>
  <c r="W26" i="37" s="1"/>
  <c r="I60" i="36"/>
  <c r="E59" i="36"/>
  <c r="E60" i="36" s="1"/>
  <c r="L59" i="36"/>
  <c r="L60" i="36" s="1"/>
  <c r="K59" i="36"/>
  <c r="K60" i="36" s="1"/>
  <c r="W42" i="8"/>
  <c r="W43" i="8" s="1"/>
  <c r="N43" i="8"/>
  <c r="N58" i="8"/>
  <c r="I19" i="36"/>
  <c r="G19" i="36"/>
  <c r="E19" i="36"/>
  <c r="B39" i="8"/>
  <c r="B50" i="8" s="1"/>
  <c r="B60" i="8" s="1"/>
  <c r="Z55" i="37"/>
  <c r="AD55" i="37"/>
  <c r="P55" i="37"/>
  <c r="W55" i="37" s="1"/>
  <c r="AC55" i="37"/>
  <c r="G63" i="14"/>
  <c r="Z51" i="9"/>
  <c r="N48" i="9"/>
  <c r="P48" i="9" s="1"/>
  <c r="W48" i="9" s="1"/>
  <c r="Z52" i="37"/>
  <c r="AC52" i="37"/>
  <c r="N45" i="37"/>
  <c r="AD45" i="37" s="1"/>
  <c r="L60" i="9"/>
  <c r="L62" i="9" s="1"/>
  <c r="B43" i="37"/>
  <c r="B61" i="37" s="1"/>
  <c r="B63" i="37" s="1"/>
  <c r="K44" i="37"/>
  <c r="E60" i="9"/>
  <c r="E62" i="9" s="1"/>
  <c r="M38" i="37"/>
  <c r="N38" i="9"/>
  <c r="P38" i="9" s="1"/>
  <c r="W38" i="9" s="1"/>
  <c r="Z29" i="9"/>
  <c r="AD26" i="37"/>
  <c r="AC26" i="37"/>
  <c r="D63" i="14"/>
  <c r="F63" i="14"/>
  <c r="P25" i="37"/>
  <c r="W25" i="37" s="1"/>
  <c r="AC25" i="37"/>
  <c r="Z28" i="9"/>
  <c r="N13" i="37"/>
  <c r="AD13" i="37" s="1"/>
  <c r="D10" i="37"/>
  <c r="N8" i="37"/>
  <c r="N10" i="37" s="1"/>
  <c r="AD10" i="37" s="1"/>
  <c r="P8" i="9"/>
  <c r="N10" i="9"/>
  <c r="E63" i="14"/>
  <c r="M64" i="17"/>
  <c r="I60" i="9"/>
  <c r="I62" i="9" s="1"/>
  <c r="K60" i="9"/>
  <c r="K62" i="9" s="1"/>
  <c r="F61" i="37"/>
  <c r="F63" i="37" s="1"/>
  <c r="Z34" i="9"/>
  <c r="F60" i="36"/>
  <c r="Z53" i="8"/>
  <c r="Z58" i="36"/>
  <c r="P58" i="36"/>
  <c r="W58" i="36" s="1"/>
  <c r="W58" i="8"/>
  <c r="Z56" i="36"/>
  <c r="Z48" i="36"/>
  <c r="P48" i="36"/>
  <c r="W48" i="36" s="1"/>
  <c r="D49" i="36"/>
  <c r="AC48" i="36"/>
  <c r="AD48" i="36"/>
  <c r="N47" i="36"/>
  <c r="G43" i="36"/>
  <c r="G44" i="36" s="1"/>
  <c r="C44" i="36"/>
  <c r="J43" i="36"/>
  <c r="J44" i="36" s="1"/>
  <c r="M43" i="36"/>
  <c r="M44" i="36" s="1"/>
  <c r="F43" i="36"/>
  <c r="F44" i="36" s="1"/>
  <c r="K43" i="36"/>
  <c r="K44" i="36" s="1"/>
  <c r="E43" i="36"/>
  <c r="E44" i="36" s="1"/>
  <c r="H43" i="36"/>
  <c r="H44" i="36" s="1"/>
  <c r="N37" i="36"/>
  <c r="AD37" i="36" s="1"/>
  <c r="P37" i="8"/>
  <c r="Z36" i="8"/>
  <c r="N37" i="8"/>
  <c r="N31" i="36"/>
  <c r="W26" i="8"/>
  <c r="W27" i="8" s="1"/>
  <c r="G22" i="36"/>
  <c r="J22" i="36"/>
  <c r="H19" i="36"/>
  <c r="B23" i="36"/>
  <c r="B40" i="36" s="1"/>
  <c r="B51" i="36" s="1"/>
  <c r="B62" i="36" s="1"/>
  <c r="F19" i="36"/>
  <c r="K19" i="36"/>
  <c r="E39" i="8"/>
  <c r="E50" i="8" s="1"/>
  <c r="E60" i="8" s="1"/>
  <c r="I22" i="36"/>
  <c r="H22" i="36"/>
  <c r="L22" i="36"/>
  <c r="L19" i="36"/>
  <c r="C39" i="8"/>
  <c r="C50" i="8" s="1"/>
  <c r="C60" i="8" s="1"/>
  <c r="L39" i="8"/>
  <c r="L50" i="8" s="1"/>
  <c r="L60" i="8" s="1"/>
  <c r="W16" i="8"/>
  <c r="L10" i="36"/>
  <c r="AV42" i="30"/>
  <c r="AV48" i="30" s="1"/>
  <c r="AV53" i="30" s="1"/>
  <c r="AB34" i="30"/>
  <c r="AB54" i="30" s="1"/>
  <c r="AW34" i="30"/>
  <c r="AP19" i="30"/>
  <c r="AP22" i="30"/>
  <c r="AZ22" i="30"/>
  <c r="BB22" i="30" s="1"/>
  <c r="AZ13" i="30"/>
  <c r="BB13" i="30" s="1"/>
  <c r="AP13" i="30"/>
  <c r="AP25" i="30"/>
  <c r="AZ25" i="30"/>
  <c r="BB25" i="30" s="1"/>
  <c r="AZ10" i="30"/>
  <c r="BB10" i="30" s="1"/>
  <c r="AP10" i="30"/>
  <c r="AZ16" i="30"/>
  <c r="BB16" i="30" s="1"/>
  <c r="AP16" i="30"/>
  <c r="AZ11" i="30"/>
  <c r="BB11" i="30" s="1"/>
  <c r="AP11" i="30"/>
  <c r="AZ8" i="30"/>
  <c r="BB8" i="30" s="1"/>
  <c r="AP8" i="30"/>
  <c r="AZ20" i="30"/>
  <c r="BB20" i="30" s="1"/>
  <c r="AP20" i="30"/>
  <c r="Z44" i="9"/>
  <c r="F28" i="36"/>
  <c r="J60" i="36"/>
  <c r="P58" i="37"/>
  <c r="W58" i="37" s="1"/>
  <c r="Z58" i="37"/>
  <c r="AC58" i="37"/>
  <c r="AD58" i="37"/>
  <c r="N13" i="36"/>
  <c r="Z13" i="36" s="1"/>
  <c r="Z10" i="8"/>
  <c r="M60" i="9"/>
  <c r="M62" i="9" s="1"/>
  <c r="P16" i="8"/>
  <c r="N16" i="8"/>
  <c r="Z11" i="8"/>
  <c r="P26" i="9"/>
  <c r="W26" i="9" s="1"/>
  <c r="W46" i="8"/>
  <c r="W48" i="8" s="1"/>
  <c r="P48" i="8"/>
  <c r="P23" i="9"/>
  <c r="W23" i="9" s="1"/>
  <c r="O27" i="14"/>
  <c r="O39" i="14" s="1"/>
  <c r="O50" i="14" s="1"/>
  <c r="O61" i="14" s="1"/>
  <c r="AB25" i="9"/>
  <c r="AD25" i="9" s="1"/>
  <c r="AB19" i="9"/>
  <c r="AB39" i="9"/>
  <c r="AB49" i="9"/>
  <c r="AB22" i="9"/>
  <c r="AB13" i="9"/>
  <c r="AB9" i="9"/>
  <c r="AB41" i="9"/>
  <c r="AB23" i="9"/>
  <c r="AB34" i="9"/>
  <c r="Z45" i="9"/>
  <c r="AB45" i="9"/>
  <c r="AB47" i="9"/>
  <c r="AB20" i="9"/>
  <c r="AB35" i="9"/>
  <c r="AB16" i="9"/>
  <c r="AB17" i="9"/>
  <c r="Z55" i="9"/>
  <c r="Z49" i="9"/>
  <c r="Y48" i="9"/>
  <c r="Z9" i="9"/>
  <c r="Y10" i="9"/>
  <c r="AB24" i="9"/>
  <c r="AB8" i="9"/>
  <c r="Y23" i="8"/>
  <c r="Y37" i="8"/>
  <c r="Y31" i="8"/>
  <c r="Z30" i="8"/>
  <c r="Z31" i="8" s="1"/>
  <c r="Z26" i="8"/>
  <c r="Y27" i="8"/>
  <c r="Y43" i="8"/>
  <c r="Z42" i="8"/>
  <c r="Z43" i="8" s="1"/>
  <c r="Y16" i="8"/>
  <c r="M27" i="8"/>
  <c r="M39" i="8" s="1"/>
  <c r="M50" i="8" s="1"/>
  <c r="M60" i="8" s="1"/>
  <c r="N27" i="14"/>
  <c r="N39" i="14" s="1"/>
  <c r="N50" i="14" s="1"/>
  <c r="N61" i="14" s="1"/>
  <c r="N63" i="14" s="1"/>
  <c r="O62" i="32"/>
  <c r="O64" i="32" s="1"/>
  <c r="O64" i="31" s="1"/>
  <c r="AN31" i="30"/>
  <c r="AG31" i="30"/>
  <c r="AH31" i="30" s="1"/>
  <c r="AJ31" i="30" s="1"/>
  <c r="O62" i="12"/>
  <c r="O64" i="12" s="1"/>
  <c r="D16" i="36"/>
  <c r="G15" i="36"/>
  <c r="N57" i="36"/>
  <c r="L6" i="38"/>
  <c r="M24" i="38"/>
  <c r="N6" i="38"/>
  <c r="N19" i="38" s="1"/>
  <c r="H15" i="36"/>
  <c r="AC5" i="38"/>
  <c r="AC27" i="38" s="1"/>
  <c r="W5" i="38"/>
  <c r="X5" i="38" s="1"/>
  <c r="Y5" i="38" s="1"/>
  <c r="Z5" i="38" s="1"/>
  <c r="R5" i="38"/>
  <c r="AD35" i="37"/>
  <c r="AD70" i="37"/>
  <c r="AC70" i="37"/>
  <c r="K38" i="36"/>
  <c r="L15" i="36"/>
  <c r="N29" i="37"/>
  <c r="Z29" i="37" s="1"/>
  <c r="M23" i="36"/>
  <c r="P39" i="37"/>
  <c r="W39" i="37" s="1"/>
  <c r="AD39" i="37"/>
  <c r="AC39" i="37"/>
  <c r="AC73" i="37"/>
  <c r="Z72" i="37"/>
  <c r="R34" i="30"/>
  <c r="R54" i="30" s="1"/>
  <c r="P34" i="30"/>
  <c r="P54" i="30" s="1"/>
  <c r="AZ32" i="30"/>
  <c r="BB32" i="30" s="1"/>
  <c r="AP32" i="30"/>
  <c r="C20" i="10"/>
  <c r="C11" i="10"/>
  <c r="C14" i="10"/>
  <c r="C17" i="10" s="1"/>
  <c r="N59" i="37"/>
  <c r="O62" i="13"/>
  <c r="O64" i="13" s="1"/>
  <c r="O64" i="27" s="1"/>
  <c r="N14" i="36"/>
  <c r="M63" i="14"/>
  <c r="K27" i="8"/>
  <c r="K39" i="8" s="1"/>
  <c r="K50" i="8" s="1"/>
  <c r="K60" i="8" s="1"/>
  <c r="L27" i="14"/>
  <c r="L39" i="14" s="1"/>
  <c r="L50" i="14" s="1"/>
  <c r="L61" i="14" s="1"/>
  <c r="L63" i="14" s="1"/>
  <c r="P29" i="9"/>
  <c r="W29" i="9" s="1"/>
  <c r="G33" i="37"/>
  <c r="N33" i="37" s="1"/>
  <c r="P33" i="37" s="1"/>
  <c r="W33" i="37" s="1"/>
  <c r="N34" i="37"/>
  <c r="O62" i="11"/>
  <c r="O64" i="11" s="1"/>
  <c r="O64" i="1" s="1"/>
  <c r="N11" i="36"/>
  <c r="I15" i="36"/>
  <c r="I16" i="36" s="1"/>
  <c r="Q68" i="34"/>
  <c r="AD9" i="37"/>
  <c r="AC69" i="37"/>
  <c r="AD69" i="37"/>
  <c r="AB74" i="37"/>
  <c r="N20" i="36"/>
  <c r="N30" i="37"/>
  <c r="F37" i="33"/>
  <c r="P19" i="37"/>
  <c r="W19" i="37" s="1"/>
  <c r="AD19" i="37"/>
  <c r="Z19" i="37"/>
  <c r="AC19" i="37"/>
  <c r="AC68" i="37"/>
  <c r="AD68" i="37"/>
  <c r="Z39" i="37"/>
  <c r="I16" i="10"/>
  <c r="I22" i="10" s="1"/>
  <c r="J10" i="10" s="1"/>
  <c r="J22" i="10" s="1"/>
  <c r="K10" i="10" s="1"/>
  <c r="O61" i="6"/>
  <c r="O63" i="6" s="1"/>
  <c r="O64" i="17" s="1"/>
  <c r="N37" i="37"/>
  <c r="P37" i="37" s="1"/>
  <c r="W37" i="37" s="1"/>
  <c r="P25" i="9"/>
  <c r="W25" i="9" s="1"/>
  <c r="O62" i="29"/>
  <c r="O64" i="29" s="1"/>
  <c r="O64" i="28" s="1"/>
  <c r="N33" i="9"/>
  <c r="P27" i="9"/>
  <c r="W27" i="9" s="1"/>
  <c r="O40" i="15"/>
  <c r="O51" i="15" s="1"/>
  <c r="O62" i="15" s="1"/>
  <c r="O64" i="15" s="1"/>
  <c r="E38" i="36"/>
  <c r="N35" i="36"/>
  <c r="G60" i="9"/>
  <c r="G62" i="9" s="1"/>
  <c r="AD7" i="38"/>
  <c r="AC31" i="38"/>
  <c r="AD14" i="37"/>
  <c r="AC14" i="37"/>
  <c r="AD57" i="37"/>
  <c r="AC57" i="37"/>
  <c r="AB54" i="37"/>
  <c r="F15" i="36"/>
  <c r="M19" i="38"/>
  <c r="Z20" i="37"/>
  <c r="P20" i="37"/>
  <c r="W20" i="37" s="1"/>
  <c r="AD20" i="37"/>
  <c r="AD72" i="37"/>
  <c r="Z73" i="37"/>
  <c r="AL15" i="38"/>
  <c r="AK22" i="38"/>
  <c r="AC67" i="37"/>
  <c r="AD67" i="37"/>
  <c r="Z67" i="37"/>
  <c r="AS34" i="30"/>
  <c r="AT29" i="30"/>
  <c r="AP6" i="30"/>
  <c r="AZ6" i="30"/>
  <c r="AP30" i="30"/>
  <c r="AZ30" i="30"/>
  <c r="BB30" i="30" s="1"/>
  <c r="Z15" i="8"/>
  <c r="AZ23" i="30"/>
  <c r="BB23" i="30" s="1"/>
  <c r="AP23" i="30"/>
  <c r="AC48" i="37"/>
  <c r="P48" i="37"/>
  <c r="W48" i="37" s="1"/>
  <c r="N12" i="36"/>
  <c r="Y21" i="37"/>
  <c r="Y61" i="37" s="1"/>
  <c r="Y63" i="37" s="1"/>
  <c r="K15" i="10"/>
  <c r="K21" i="10"/>
  <c r="L9" i="10" s="1"/>
  <c r="Z26" i="9"/>
  <c r="Z30" i="9"/>
  <c r="P22" i="9"/>
  <c r="W22" i="9" s="1"/>
  <c r="P28" i="9"/>
  <c r="W28" i="9" s="1"/>
  <c r="O62" i="18"/>
  <c r="O64" i="18" s="1"/>
  <c r="O64" i="26" s="1"/>
  <c r="F60" i="9"/>
  <c r="F62" i="9" s="1"/>
  <c r="K15" i="36"/>
  <c r="AB21" i="37"/>
  <c r="AD71" i="37"/>
  <c r="AC71" i="37"/>
  <c r="M15" i="36"/>
  <c r="AB33" i="37"/>
  <c r="AL8" i="38"/>
  <c r="W8" i="38"/>
  <c r="X8" i="38" s="1"/>
  <c r="Y8" i="38" s="1"/>
  <c r="Z8" i="38" s="1"/>
  <c r="AA8" i="38" s="1"/>
  <c r="R8" i="38"/>
  <c r="S8" i="38" s="1"/>
  <c r="AC20" i="37"/>
  <c r="N27" i="36"/>
  <c r="AC27" i="36" s="1"/>
  <c r="Y21" i="9"/>
  <c r="Z39" i="9"/>
  <c r="Y38" i="9"/>
  <c r="Y33" i="9"/>
  <c r="Z35" i="9"/>
  <c r="O61" i="5"/>
  <c r="J61" i="37"/>
  <c r="J63" i="37" s="1"/>
  <c r="N54" i="37"/>
  <c r="P54" i="37" s="1"/>
  <c r="W54" i="37" s="1"/>
  <c r="J60" i="9"/>
  <c r="J62" i="9" s="1"/>
  <c r="K63" i="14"/>
  <c r="N40" i="37"/>
  <c r="P23" i="37"/>
  <c r="W23" i="37" s="1"/>
  <c r="AD23" i="37"/>
  <c r="Z23" i="37"/>
  <c r="AC23" i="37"/>
  <c r="J63" i="14"/>
  <c r="N41" i="37"/>
  <c r="N43" i="9"/>
  <c r="H60" i="9"/>
  <c r="H62" i="9" s="1"/>
  <c r="AB40" i="36"/>
  <c r="N15" i="37"/>
  <c r="I27" i="14"/>
  <c r="I39" i="14" s="1"/>
  <c r="I50" i="14" s="1"/>
  <c r="I61" i="14" s="1"/>
  <c r="I63" i="14" s="1"/>
  <c r="H27" i="8"/>
  <c r="H39" i="8" s="1"/>
  <c r="H50" i="8" s="1"/>
  <c r="H60" i="8" s="1"/>
  <c r="P31" i="8" l="1"/>
  <c r="D40" i="36"/>
  <c r="AC21" i="36"/>
  <c r="AC35" i="37"/>
  <c r="P35" i="37"/>
  <c r="W35" i="37" s="1"/>
  <c r="F23" i="36"/>
  <c r="AD49" i="37"/>
  <c r="Z49" i="37"/>
  <c r="P49" i="37"/>
  <c r="W49" i="37" s="1"/>
  <c r="Z21" i="36"/>
  <c r="E23" i="36"/>
  <c r="E40" i="36" s="1"/>
  <c r="E51" i="36" s="1"/>
  <c r="E62" i="36" s="1"/>
  <c r="E64" i="36" s="1"/>
  <c r="AD16" i="37"/>
  <c r="AC16" i="37"/>
  <c r="Z26" i="36"/>
  <c r="AD26" i="36"/>
  <c r="P28" i="36"/>
  <c r="AC26" i="36"/>
  <c r="AC28" i="36" s="1"/>
  <c r="Z54" i="36"/>
  <c r="P54" i="36"/>
  <c r="W54" i="36" s="1"/>
  <c r="AC54" i="36"/>
  <c r="H23" i="36"/>
  <c r="J23" i="36"/>
  <c r="N22" i="36"/>
  <c r="P22" i="36" s="1"/>
  <c r="W22" i="36" s="1"/>
  <c r="P21" i="36"/>
  <c r="W21" i="36" s="1"/>
  <c r="Z37" i="36"/>
  <c r="P37" i="36"/>
  <c r="W37" i="36" s="1"/>
  <c r="AC37" i="36"/>
  <c r="L23" i="36"/>
  <c r="Z15" i="9"/>
  <c r="J16" i="36"/>
  <c r="I23" i="36"/>
  <c r="I40" i="36" s="1"/>
  <c r="I51" i="36" s="1"/>
  <c r="I62" i="36" s="1"/>
  <c r="I64" i="36" s="1"/>
  <c r="C62" i="8"/>
  <c r="N36" i="36"/>
  <c r="N38" i="36" s="1"/>
  <c r="AD38" i="36" s="1"/>
  <c r="F16" i="36"/>
  <c r="F40" i="36" s="1"/>
  <c r="F51" i="36" s="1"/>
  <c r="F62" i="36" s="1"/>
  <c r="F64" i="36" s="1"/>
  <c r="H16" i="36"/>
  <c r="Z37" i="8"/>
  <c r="P9" i="37"/>
  <c r="AC9" i="37"/>
  <c r="P16" i="37"/>
  <c r="W16" i="37" s="1"/>
  <c r="AC56" i="37"/>
  <c r="P56" i="37"/>
  <c r="W56" i="37" s="1"/>
  <c r="Z56" i="37"/>
  <c r="AC26" i="9"/>
  <c r="K16" i="36"/>
  <c r="D62" i="8"/>
  <c r="P58" i="8"/>
  <c r="J62" i="8"/>
  <c r="L16" i="36"/>
  <c r="O63" i="5"/>
  <c r="O63" i="14" s="1"/>
  <c r="AD37" i="9"/>
  <c r="AD74" i="37"/>
  <c r="AD46" i="8"/>
  <c r="N38" i="37"/>
  <c r="AD38" i="37" s="1"/>
  <c r="Y60" i="9"/>
  <c r="Y62" i="9" s="1"/>
  <c r="AC30" i="8"/>
  <c r="AC31" i="8" s="1"/>
  <c r="P23" i="8"/>
  <c r="P39" i="8" s="1"/>
  <c r="P50" i="8" s="1"/>
  <c r="Z23" i="8"/>
  <c r="G23" i="36"/>
  <c r="AC22" i="9"/>
  <c r="AB21" i="9"/>
  <c r="AD31" i="9"/>
  <c r="AC31" i="9"/>
  <c r="AB27" i="8"/>
  <c r="AB43" i="9"/>
  <c r="AC43" i="9" s="1"/>
  <c r="AD54" i="9"/>
  <c r="AC40" i="9"/>
  <c r="AB48" i="8"/>
  <c r="AD48" i="8" s="1"/>
  <c r="AB37" i="8"/>
  <c r="AD37" i="8" s="1"/>
  <c r="AB23" i="8"/>
  <c r="AD23" i="8" s="1"/>
  <c r="AB16" i="8"/>
  <c r="AB58" i="8"/>
  <c r="AD58" i="8" s="1"/>
  <c r="Z15" i="37"/>
  <c r="Z10" i="9"/>
  <c r="Z48" i="37"/>
  <c r="M16" i="36"/>
  <c r="M40" i="36" s="1"/>
  <c r="M51" i="36" s="1"/>
  <c r="M62" i="36" s="1"/>
  <c r="G16" i="36"/>
  <c r="N10" i="36"/>
  <c r="Z10" i="36" s="1"/>
  <c r="I62" i="8"/>
  <c r="Y64" i="36"/>
  <c r="Z48" i="8"/>
  <c r="AC19" i="8"/>
  <c r="AD22" i="9"/>
  <c r="AD27" i="9"/>
  <c r="AC28" i="9"/>
  <c r="AC25" i="9"/>
  <c r="AC14" i="9"/>
  <c r="AD13" i="8"/>
  <c r="AC37" i="37"/>
  <c r="AD42" i="8"/>
  <c r="AC42" i="8"/>
  <c r="AC43" i="8" s="1"/>
  <c r="AD43" i="8"/>
  <c r="AC20" i="8"/>
  <c r="AD26" i="8"/>
  <c r="AC12" i="8"/>
  <c r="AD10" i="8"/>
  <c r="AC10" i="8"/>
  <c r="AD47" i="8"/>
  <c r="AC48" i="8"/>
  <c r="AD21" i="8"/>
  <c r="Z37" i="37"/>
  <c r="AC13" i="37"/>
  <c r="Z13" i="37"/>
  <c r="C51" i="36"/>
  <c r="C62" i="36" s="1"/>
  <c r="C64" i="36" s="1"/>
  <c r="AC35" i="8"/>
  <c r="AD36" i="8"/>
  <c r="AC55" i="8"/>
  <c r="G62" i="8"/>
  <c r="Z58" i="8"/>
  <c r="AD57" i="8"/>
  <c r="AC34" i="8"/>
  <c r="AD30" i="8"/>
  <c r="AD31" i="8"/>
  <c r="AC44" i="9"/>
  <c r="AC22" i="8"/>
  <c r="AC53" i="8"/>
  <c r="AD14" i="8"/>
  <c r="Z43" i="9"/>
  <c r="AC11" i="8"/>
  <c r="L62" i="8"/>
  <c r="D63" i="37"/>
  <c r="M62" i="8"/>
  <c r="Z38" i="9"/>
  <c r="Y39" i="8"/>
  <c r="Y50" i="8" s="1"/>
  <c r="Y60" i="8" s="1"/>
  <c r="AC29" i="9"/>
  <c r="AD51" i="9"/>
  <c r="AD50" i="9"/>
  <c r="P27" i="36"/>
  <c r="W27" i="36" s="1"/>
  <c r="Z48" i="9"/>
  <c r="AD11" i="8"/>
  <c r="P45" i="37"/>
  <c r="W45" i="37" s="1"/>
  <c r="AD15" i="8"/>
  <c r="AC54" i="8"/>
  <c r="AD54" i="8"/>
  <c r="AD56" i="8"/>
  <c r="Z74" i="37"/>
  <c r="W39" i="8"/>
  <c r="W50" i="8" s="1"/>
  <c r="W60" i="8" s="1"/>
  <c r="AC54" i="37"/>
  <c r="N59" i="36"/>
  <c r="Z59" i="36" s="1"/>
  <c r="AD13" i="36"/>
  <c r="N43" i="36"/>
  <c r="N44" i="36" s="1"/>
  <c r="AD44" i="36" s="1"/>
  <c r="B62" i="8"/>
  <c r="B64" i="8" s="1"/>
  <c r="P13" i="36"/>
  <c r="W13" i="36" s="1"/>
  <c r="AC13" i="36"/>
  <c r="N19" i="36"/>
  <c r="P19" i="36" s="1"/>
  <c r="Z45" i="37"/>
  <c r="E62" i="8"/>
  <c r="K43" i="37"/>
  <c r="N43" i="37" s="1"/>
  <c r="N44" i="37"/>
  <c r="AC45" i="37"/>
  <c r="AD37" i="37"/>
  <c r="K62" i="8"/>
  <c r="P13" i="37"/>
  <c r="W13" i="37" s="1"/>
  <c r="B64" i="36"/>
  <c r="B66" i="36" s="1"/>
  <c r="P8" i="37"/>
  <c r="W8" i="37" s="1"/>
  <c r="AD8" i="37"/>
  <c r="Z8" i="37"/>
  <c r="Z10" i="37" s="1"/>
  <c r="AC8" i="37"/>
  <c r="P10" i="9"/>
  <c r="W8" i="9"/>
  <c r="W10" i="9" s="1"/>
  <c r="Z33" i="9"/>
  <c r="Z47" i="36"/>
  <c r="Z49" i="36" s="1"/>
  <c r="P47" i="36"/>
  <c r="N49" i="36"/>
  <c r="AD49" i="36" s="1"/>
  <c r="AD47" i="36"/>
  <c r="AC47" i="36"/>
  <c r="AC49" i="36" s="1"/>
  <c r="D51" i="36"/>
  <c r="D62" i="36" s="1"/>
  <c r="N32" i="36"/>
  <c r="AD32" i="36" s="1"/>
  <c r="AC31" i="36"/>
  <c r="AC32" i="36" s="1"/>
  <c r="Z31" i="36"/>
  <c r="Z32" i="36" s="1"/>
  <c r="P31" i="36"/>
  <c r="AD31" i="36"/>
  <c r="K23" i="36"/>
  <c r="N15" i="36"/>
  <c r="AD15" i="36" s="1"/>
  <c r="F62" i="8"/>
  <c r="AD27" i="36"/>
  <c r="Z16" i="8"/>
  <c r="N27" i="8"/>
  <c r="Z21" i="9"/>
  <c r="AC49" i="9"/>
  <c r="AB48" i="9"/>
  <c r="AD49" i="9"/>
  <c r="AC19" i="9"/>
  <c r="AD19" i="9"/>
  <c r="AD55" i="9"/>
  <c r="AC55" i="9"/>
  <c r="AB15" i="9"/>
  <c r="AC16" i="9"/>
  <c r="AD16" i="9"/>
  <c r="AC20" i="9"/>
  <c r="AD20" i="9"/>
  <c r="AD9" i="9"/>
  <c r="AC9" i="9"/>
  <c r="AD30" i="9"/>
  <c r="AC30" i="9"/>
  <c r="AC24" i="9"/>
  <c r="AD24" i="9"/>
  <c r="AC41" i="9"/>
  <c r="AD41" i="9"/>
  <c r="AC35" i="9"/>
  <c r="AD35" i="9"/>
  <c r="AD47" i="9"/>
  <c r="AC47" i="9"/>
  <c r="AB33" i="9"/>
  <c r="AC33" i="9" s="1"/>
  <c r="AC34" i="9"/>
  <c r="AD34" i="9"/>
  <c r="AD57" i="9"/>
  <c r="AC57" i="9"/>
  <c r="AC13" i="9"/>
  <c r="AD13" i="9"/>
  <c r="AD39" i="9"/>
  <c r="AB38" i="9"/>
  <c r="AC39" i="9"/>
  <c r="AD17" i="9"/>
  <c r="AC17" i="9"/>
  <c r="AB10" i="9"/>
  <c r="AD10" i="9" s="1"/>
  <c r="AD8" i="9"/>
  <c r="AC8" i="9"/>
  <c r="AC56" i="9"/>
  <c r="AD56" i="9"/>
  <c r="AC45" i="9"/>
  <c r="AD45" i="9"/>
  <c r="AC23" i="9"/>
  <c r="AD23" i="9"/>
  <c r="K16" i="10"/>
  <c r="K22" i="10"/>
  <c r="L10" i="10" s="1"/>
  <c r="AG28" i="30"/>
  <c r="AN28" i="30"/>
  <c r="V34" i="30"/>
  <c r="AF18" i="30"/>
  <c r="AH18" i="30" s="1"/>
  <c r="AJ18" i="30" s="1"/>
  <c r="AM18" i="30"/>
  <c r="AF9" i="30"/>
  <c r="AM9" i="30"/>
  <c r="U34" i="30"/>
  <c r="BB6" i="30"/>
  <c r="BB34" i="30" s="1"/>
  <c r="AV29" i="30"/>
  <c r="AV34" i="30" s="1"/>
  <c r="AV54" i="30" s="1"/>
  <c r="AT34" i="30"/>
  <c r="AT54" i="30" s="1"/>
  <c r="AC74" i="37"/>
  <c r="Z35" i="36"/>
  <c r="P35" i="36"/>
  <c r="AD35" i="36"/>
  <c r="AC35" i="36"/>
  <c r="P59" i="37"/>
  <c r="W59" i="37" s="1"/>
  <c r="Z59" i="37"/>
  <c r="AC59" i="37"/>
  <c r="AD59" i="37"/>
  <c r="AD6" i="38"/>
  <c r="W6" i="38"/>
  <c r="X6" i="38" s="1"/>
  <c r="Y6" i="38" s="1"/>
  <c r="Z6" i="38" s="1"/>
  <c r="R6" i="38"/>
  <c r="S6" i="38" s="1"/>
  <c r="AY31" i="30"/>
  <c r="AO31" i="30"/>
  <c r="N60" i="9"/>
  <c r="N62" i="9" s="1"/>
  <c r="AD54" i="37"/>
  <c r="AB61" i="37"/>
  <c r="AB63" i="37" s="1"/>
  <c r="AD31" i="38"/>
  <c r="AE7" i="38"/>
  <c r="P20" i="36"/>
  <c r="W20" i="36" s="1"/>
  <c r="Z20" i="36"/>
  <c r="AC20" i="36"/>
  <c r="AD20" i="36"/>
  <c r="AC34" i="37"/>
  <c r="P34" i="37"/>
  <c r="W34" i="37" s="1"/>
  <c r="AD34" i="37"/>
  <c r="Z34" i="37"/>
  <c r="Z33" i="37" s="1"/>
  <c r="Z57" i="36"/>
  <c r="P57" i="36"/>
  <c r="AD57" i="36"/>
  <c r="AC57" i="36"/>
  <c r="AD33" i="37"/>
  <c r="AC33" i="37"/>
  <c r="AL31" i="38"/>
  <c r="K31" i="37" s="1"/>
  <c r="AM8" i="38"/>
  <c r="P12" i="36"/>
  <c r="W12" i="36" s="1"/>
  <c r="Z12" i="36"/>
  <c r="AC12" i="36"/>
  <c r="AD12" i="36"/>
  <c r="AM15" i="38"/>
  <c r="AL22" i="38"/>
  <c r="AG29" i="30"/>
  <c r="AH29" i="30" s="1"/>
  <c r="AJ29" i="30" s="1"/>
  <c r="AN29" i="30"/>
  <c r="P33" i="9"/>
  <c r="W33" i="9" s="1"/>
  <c r="AC30" i="37"/>
  <c r="Z30" i="37"/>
  <c r="AD30" i="37"/>
  <c r="P30" i="37"/>
  <c r="W30" i="37" s="1"/>
  <c r="W9" i="37"/>
  <c r="P11" i="36"/>
  <c r="Z11" i="36"/>
  <c r="AD11" i="36"/>
  <c r="AC11" i="36"/>
  <c r="P29" i="37"/>
  <c r="W29" i="37" s="1"/>
  <c r="AC29" i="37"/>
  <c r="AD29" i="37"/>
  <c r="R19" i="38"/>
  <c r="S5" i="38"/>
  <c r="S19" i="38" s="1"/>
  <c r="AM21" i="30"/>
  <c r="AF21" i="30"/>
  <c r="AH21" i="30" s="1"/>
  <c r="AJ21" i="30" s="1"/>
  <c r="G61" i="37"/>
  <c r="G63" i="37" s="1"/>
  <c r="P58" i="9"/>
  <c r="W58" i="9" s="1"/>
  <c r="Z58" i="9"/>
  <c r="Z53" i="9" s="1"/>
  <c r="L15" i="10"/>
  <c r="L21" i="10" s="1"/>
  <c r="M9" i="10" s="1"/>
  <c r="M21" i="10" s="1"/>
  <c r="N9" i="10" s="1"/>
  <c r="P14" i="36"/>
  <c r="W14" i="36" s="1"/>
  <c r="Z14" i="36"/>
  <c r="AD14" i="36"/>
  <c r="AC14" i="36"/>
  <c r="D8" i="10"/>
  <c r="C23" i="10"/>
  <c r="Z17" i="38"/>
  <c r="Z19" i="38"/>
  <c r="AA5" i="38"/>
  <c r="L26" i="38"/>
  <c r="L27" i="38" s="1"/>
  <c r="M25" i="38"/>
  <c r="N25" i="38" s="1"/>
  <c r="N24" i="38"/>
  <c r="Z27" i="36"/>
  <c r="Z28" i="36" s="1"/>
  <c r="N28" i="36"/>
  <c r="AD28" i="36" s="1"/>
  <c r="AC40" i="37"/>
  <c r="P40" i="37"/>
  <c r="W40" i="37" s="1"/>
  <c r="Z40" i="37"/>
  <c r="AD40" i="37"/>
  <c r="Z41" i="37"/>
  <c r="P41" i="37"/>
  <c r="W41" i="37" s="1"/>
  <c r="AC41" i="37"/>
  <c r="AD41" i="37"/>
  <c r="H62" i="8"/>
  <c r="AB51" i="36"/>
  <c r="P43" i="9"/>
  <c r="W43" i="9" s="1"/>
  <c r="W21" i="9"/>
  <c r="AD15" i="37"/>
  <c r="P15" i="37"/>
  <c r="AC15" i="37"/>
  <c r="AD22" i="36" l="1"/>
  <c r="AD36" i="36"/>
  <c r="AC36" i="36"/>
  <c r="AC38" i="36" s="1"/>
  <c r="P36" i="36"/>
  <c r="W36" i="36" s="1"/>
  <c r="Z36" i="36"/>
  <c r="Z38" i="36" s="1"/>
  <c r="AD43" i="9"/>
  <c r="J40" i="36"/>
  <c r="J51" i="36" s="1"/>
  <c r="J62" i="36" s="1"/>
  <c r="J64" i="36" s="1"/>
  <c r="H40" i="36"/>
  <c r="H51" i="36" s="1"/>
  <c r="H62" i="36" s="1"/>
  <c r="H64" i="36" s="1"/>
  <c r="L40" i="36"/>
  <c r="L51" i="36" s="1"/>
  <c r="L62" i="36" s="1"/>
  <c r="AC10" i="37"/>
  <c r="N23" i="36"/>
  <c r="AD23" i="36" s="1"/>
  <c r="AC22" i="36"/>
  <c r="Z22" i="36"/>
  <c r="P59" i="36"/>
  <c r="W59" i="36" s="1"/>
  <c r="Z54" i="37"/>
  <c r="P15" i="36"/>
  <c r="W15" i="36" s="1"/>
  <c r="G40" i="36"/>
  <c r="G51" i="36" s="1"/>
  <c r="G62" i="36" s="1"/>
  <c r="G64" i="36" s="1"/>
  <c r="C64" i="8"/>
  <c r="D64" i="8" s="1"/>
  <c r="E64" i="8" s="1"/>
  <c r="F64" i="8" s="1"/>
  <c r="G64" i="8" s="1"/>
  <c r="H64" i="8" s="1"/>
  <c r="I64" i="8" s="1"/>
  <c r="J64" i="8" s="1"/>
  <c r="K64" i="8" s="1"/>
  <c r="L64" i="8" s="1"/>
  <c r="M64" i="8" s="1"/>
  <c r="P43" i="36"/>
  <c r="P44" i="36" s="1"/>
  <c r="AD10" i="36"/>
  <c r="P10" i="36"/>
  <c r="W10" i="36" s="1"/>
  <c r="AC10" i="36"/>
  <c r="P60" i="8"/>
  <c r="K40" i="36"/>
  <c r="K51" i="36" s="1"/>
  <c r="K62" i="36" s="1"/>
  <c r="W10" i="37"/>
  <c r="AD59" i="36"/>
  <c r="AC38" i="37"/>
  <c r="P38" i="37"/>
  <c r="W38" i="37" s="1"/>
  <c r="AC10" i="9"/>
  <c r="N16" i="36"/>
  <c r="AD16" i="36" s="1"/>
  <c r="Z15" i="36"/>
  <c r="Z16" i="36" s="1"/>
  <c r="AD33" i="9"/>
  <c r="AB39" i="8"/>
  <c r="AB50" i="8" s="1"/>
  <c r="AB60" i="8" s="1"/>
  <c r="D64" i="36"/>
  <c r="P10" i="37"/>
  <c r="Z43" i="36"/>
  <c r="Z44" i="36" s="1"/>
  <c r="C66" i="36"/>
  <c r="N60" i="36"/>
  <c r="AD60" i="36" s="1"/>
  <c r="AC59" i="36"/>
  <c r="AC60" i="36" s="1"/>
  <c r="AC15" i="36"/>
  <c r="AC23" i="8"/>
  <c r="Y62" i="8"/>
  <c r="AC16" i="8"/>
  <c r="AC37" i="8"/>
  <c r="Z60" i="36"/>
  <c r="AD16" i="8"/>
  <c r="AC58" i="8"/>
  <c r="AD43" i="36"/>
  <c r="AC43" i="36"/>
  <c r="AC44" i="36" s="1"/>
  <c r="AD19" i="36"/>
  <c r="AC19" i="36"/>
  <c r="Z19" i="36"/>
  <c r="AD44" i="37"/>
  <c r="Z44" i="37"/>
  <c r="Z43" i="37" s="1"/>
  <c r="P44" i="37"/>
  <c r="W44" i="37" s="1"/>
  <c r="AC44" i="37"/>
  <c r="AD43" i="37"/>
  <c r="P43" i="37"/>
  <c r="W43" i="37" s="1"/>
  <c r="AC43" i="37"/>
  <c r="W47" i="36"/>
  <c r="W49" i="36" s="1"/>
  <c r="P49" i="36"/>
  <c r="W31" i="36"/>
  <c r="W32" i="36" s="1"/>
  <c r="P32" i="36"/>
  <c r="Z27" i="8"/>
  <c r="Z39" i="8" s="1"/>
  <c r="Z50" i="8" s="1"/>
  <c r="Z60" i="8" s="1"/>
  <c r="AC27" i="8"/>
  <c r="Z60" i="9"/>
  <c r="Z62" i="9" s="1"/>
  <c r="AD48" i="9"/>
  <c r="AC48" i="9"/>
  <c r="AD15" i="9"/>
  <c r="AC15" i="9"/>
  <c r="AD21" i="9"/>
  <c r="AC21" i="9"/>
  <c r="AD38" i="9"/>
  <c r="AC38" i="9"/>
  <c r="Q9" i="10"/>
  <c r="N15" i="10"/>
  <c r="Q15" i="10" s="1"/>
  <c r="AD24" i="38"/>
  <c r="AK24" i="38"/>
  <c r="AL24" i="38"/>
  <c r="K24" i="37" s="1"/>
  <c r="AG24" i="38"/>
  <c r="AJ24" i="38"/>
  <c r="AM24" i="38"/>
  <c r="L24" i="37" s="1"/>
  <c r="AE24" i="38"/>
  <c r="AN24" i="38"/>
  <c r="M24" i="37" s="1"/>
  <c r="AH24" i="38"/>
  <c r="AC24" i="38"/>
  <c r="AF24" i="38"/>
  <c r="AI24" i="38"/>
  <c r="AX21" i="30"/>
  <c r="AO21" i="30"/>
  <c r="W11" i="36"/>
  <c r="W57" i="36"/>
  <c r="W60" i="36" s="1"/>
  <c r="P60" i="36"/>
  <c r="AF7" i="38"/>
  <c r="AE31" i="38"/>
  <c r="AH9" i="30"/>
  <c r="AF34" i="30"/>
  <c r="AO18" i="30"/>
  <c r="AX18" i="30"/>
  <c r="AM31" i="38"/>
  <c r="L31" i="37" s="1"/>
  <c r="N31" i="37" s="1"/>
  <c r="AN8" i="38"/>
  <c r="AN31" i="38" s="1"/>
  <c r="M31" i="37" s="1"/>
  <c r="AX9" i="30"/>
  <c r="AO9" i="30"/>
  <c r="AM34" i="30"/>
  <c r="AH28" i="30"/>
  <c r="AJ28" i="30" s="1"/>
  <c r="AG34" i="30"/>
  <c r="K22" i="37"/>
  <c r="P53" i="9"/>
  <c r="M26" i="38"/>
  <c r="AA6" i="38"/>
  <c r="AA19" i="38" s="1"/>
  <c r="W35" i="36"/>
  <c r="P38" i="36"/>
  <c r="X34" i="30"/>
  <c r="X54" i="30" s="1"/>
  <c r="W34" i="30"/>
  <c r="W54" i="30" s="1"/>
  <c r="L22" i="10"/>
  <c r="M10" i="10" s="1"/>
  <c r="M22" i="10" s="1"/>
  <c r="N10" i="10" s="1"/>
  <c r="L16" i="10"/>
  <c r="AA17" i="38"/>
  <c r="D20" i="10"/>
  <c r="D11" i="10"/>
  <c r="D14" i="10"/>
  <c r="D17" i="10" s="1"/>
  <c r="W19" i="36"/>
  <c r="W23" i="36" s="1"/>
  <c r="P23" i="36"/>
  <c r="AO29" i="30"/>
  <c r="AY29" i="30"/>
  <c r="AM22" i="38"/>
  <c r="AN15" i="38"/>
  <c r="AN22" i="38" s="1"/>
  <c r="AP31" i="30"/>
  <c r="AZ31" i="30"/>
  <c r="BB31" i="30" s="1"/>
  <c r="AE6" i="38"/>
  <c r="AD27" i="38"/>
  <c r="AY28" i="30"/>
  <c r="AO28" i="30"/>
  <c r="AN34" i="30"/>
  <c r="Z38" i="37"/>
  <c r="AB62" i="36"/>
  <c r="W15" i="37"/>
  <c r="N39" i="8"/>
  <c r="AD27" i="8"/>
  <c r="W38" i="36" l="1"/>
  <c r="W43" i="36"/>
  <c r="W44" i="36" s="1"/>
  <c r="Z23" i="36"/>
  <c r="Z40" i="36" s="1"/>
  <c r="Z51" i="36" s="1"/>
  <c r="Z62" i="36" s="1"/>
  <c r="AC23" i="36"/>
  <c r="AC16" i="36"/>
  <c r="W16" i="36"/>
  <c r="W40" i="36" s="1"/>
  <c r="P16" i="36"/>
  <c r="P40" i="36" s="1"/>
  <c r="P51" i="36" s="1"/>
  <c r="P62" i="36" s="1"/>
  <c r="N40" i="36"/>
  <c r="N51" i="36" s="1"/>
  <c r="N62" i="36" s="1"/>
  <c r="AD62" i="36" s="1"/>
  <c r="D66" i="36"/>
  <c r="E66" i="36" s="1"/>
  <c r="F66" i="36" s="1"/>
  <c r="G66" i="36" s="1"/>
  <c r="H66" i="36" s="1"/>
  <c r="I66" i="36" s="1"/>
  <c r="J66" i="36" s="1"/>
  <c r="AC39" i="8"/>
  <c r="AC50" i="8" s="1"/>
  <c r="AC60" i="8" s="1"/>
  <c r="AB53" i="9"/>
  <c r="AC58" i="9"/>
  <c r="AD58" i="9"/>
  <c r="AI28" i="38"/>
  <c r="AN28" i="38"/>
  <c r="M28" i="37" s="1"/>
  <c r="AJ28" i="38"/>
  <c r="AM28" i="38"/>
  <c r="L28" i="37" s="1"/>
  <c r="AE28" i="38"/>
  <c r="AC28" i="38"/>
  <c r="AH28" i="38"/>
  <c r="AK28" i="38"/>
  <c r="AF28" i="38"/>
  <c r="AG28" i="38"/>
  <c r="AL28" i="38"/>
  <c r="K28" i="37" s="1"/>
  <c r="AD28" i="38"/>
  <c r="AN35" i="38"/>
  <c r="AC31" i="37"/>
  <c r="P31" i="37"/>
  <c r="W31" i="37" s="1"/>
  <c r="Z31" i="37"/>
  <c r="AD31" i="37"/>
  <c r="AY34" i="30"/>
  <c r="AP29" i="30"/>
  <c r="AZ29" i="30"/>
  <c r="BB29" i="30" s="1"/>
  <c r="N26" i="38"/>
  <c r="M27" i="38"/>
  <c r="N27" i="38" s="1"/>
  <c r="AP9" i="30"/>
  <c r="AZ9" i="30"/>
  <c r="AO34" i="30"/>
  <c r="AO54" i="30" s="1"/>
  <c r="AP28" i="30"/>
  <c r="AZ28" i="30"/>
  <c r="BB28" i="30" s="1"/>
  <c r="M22" i="37"/>
  <c r="AX34" i="30"/>
  <c r="AP18" i="30"/>
  <c r="AZ18" i="30"/>
  <c r="BB18" i="30" s="1"/>
  <c r="AF31" i="38"/>
  <c r="AG7" i="38"/>
  <c r="N24" i="37"/>
  <c r="N21" i="10"/>
  <c r="Q21" i="10" s="1"/>
  <c r="AF6" i="38"/>
  <c r="AE27" i="38"/>
  <c r="AE33" i="38" s="1"/>
  <c r="L22" i="37"/>
  <c r="D23" i="10"/>
  <c r="E8" i="10"/>
  <c r="Q10" i="10"/>
  <c r="N22" i="10"/>
  <c r="Q22" i="10" s="1"/>
  <c r="N16" i="10"/>
  <c r="Q16" i="10" s="1"/>
  <c r="AC33" i="38"/>
  <c r="W53" i="9"/>
  <c r="W60" i="9" s="1"/>
  <c r="W62" i="9" s="1"/>
  <c r="W62" i="8" s="1"/>
  <c r="P60" i="9"/>
  <c r="P62" i="9" s="1"/>
  <c r="P62" i="8" s="1"/>
  <c r="AJ9" i="30"/>
  <c r="AH34" i="30"/>
  <c r="AH54" i="30" s="1"/>
  <c r="AZ21" i="30"/>
  <c r="BB21" i="30" s="1"/>
  <c r="AP21" i="30"/>
  <c r="AD33" i="38"/>
  <c r="AB64" i="36"/>
  <c r="N50" i="8"/>
  <c r="AD39" i="8"/>
  <c r="W51" i="36" l="1"/>
  <c r="W62" i="36" s="1"/>
  <c r="W64" i="36" s="1"/>
  <c r="AC40" i="36"/>
  <c r="AC51" i="36" s="1"/>
  <c r="AC62" i="36" s="1"/>
  <c r="AD40" i="36"/>
  <c r="AD51" i="36"/>
  <c r="P64" i="36"/>
  <c r="AB60" i="9"/>
  <c r="AC53" i="9"/>
  <c r="AC60" i="9" s="1"/>
  <c r="AC62" i="9" s="1"/>
  <c r="AD53" i="9"/>
  <c r="E14" i="10"/>
  <c r="E17" i="10" s="1"/>
  <c r="E20" i="10"/>
  <c r="E11" i="10"/>
  <c r="P24" i="37"/>
  <c r="W24" i="37" s="1"/>
  <c r="AC24" i="37"/>
  <c r="Z24" i="37"/>
  <c r="AD24" i="37"/>
  <c r="AG6" i="38"/>
  <c r="AF27" i="38"/>
  <c r="AF33" i="38" s="1"/>
  <c r="BB9" i="30"/>
  <c r="AZ34" i="30"/>
  <c r="N28" i="37"/>
  <c r="AP34" i="30"/>
  <c r="AP54" i="30" s="1"/>
  <c r="AG31" i="38"/>
  <c r="AH7" i="38"/>
  <c r="N22" i="37"/>
  <c r="N60" i="8"/>
  <c r="AD50" i="8"/>
  <c r="AB62" i="9" l="1"/>
  <c r="AD60" i="9"/>
  <c r="AC64" i="36"/>
  <c r="P22" i="37"/>
  <c r="W22" i="37" s="1"/>
  <c r="Z22" i="37"/>
  <c r="AD22" i="37"/>
  <c r="AC22" i="37"/>
  <c r="E23" i="10"/>
  <c r="F8" i="10"/>
  <c r="AI7" i="38"/>
  <c r="AH31" i="38"/>
  <c r="P28" i="37"/>
  <c r="W28" i="37" s="1"/>
  <c r="Z28" i="37"/>
  <c r="AC28" i="37"/>
  <c r="AD28" i="37"/>
  <c r="AH6" i="38"/>
  <c r="AG27" i="38"/>
  <c r="AG33" i="38" s="1"/>
  <c r="N62" i="8"/>
  <c r="AD60" i="8"/>
  <c r="AD62" i="9" l="1"/>
  <c r="AI6" i="38"/>
  <c r="AH27" i="38"/>
  <c r="AH33" i="38" s="1"/>
  <c r="F11" i="10"/>
  <c r="F14" i="10"/>
  <c r="F17" i="10" s="1"/>
  <c r="AI31" i="38"/>
  <c r="AJ7" i="38"/>
  <c r="Z62" i="8"/>
  <c r="AI27" i="38" l="1"/>
  <c r="AI33" i="38" s="1"/>
  <c r="AJ6" i="38"/>
  <c r="AK7" i="38"/>
  <c r="AK31" i="38" s="1"/>
  <c r="AJ31" i="38"/>
  <c r="F20" i="10"/>
  <c r="AK6" i="38" l="1"/>
  <c r="AJ27" i="38"/>
  <c r="AJ33" i="38" s="1"/>
  <c r="F23" i="10"/>
  <c r="G8" i="10"/>
  <c r="G11" i="10" l="1"/>
  <c r="G14" i="10"/>
  <c r="G17" i="10" s="1"/>
  <c r="G20" i="10"/>
  <c r="AL6" i="38"/>
  <c r="AK27" i="38"/>
  <c r="AK33" i="38" s="1"/>
  <c r="G23" i="10" l="1"/>
  <c r="H8" i="10"/>
  <c r="AL27" i="38"/>
  <c r="AM6" i="38"/>
  <c r="AM27" i="38" l="1"/>
  <c r="AN6" i="38"/>
  <c r="AN27" i="38" s="1"/>
  <c r="H14" i="10"/>
  <c r="H17" i="10" s="1"/>
  <c r="H11" i="10"/>
  <c r="K27" i="37"/>
  <c r="AL33" i="38"/>
  <c r="K21" i="37" l="1"/>
  <c r="K61" i="37" s="1"/>
  <c r="K63" i="37" s="1"/>
  <c r="K64" i="36" s="1"/>
  <c r="K66" i="36" s="1"/>
  <c r="M27" i="37"/>
  <c r="M21" i="37" s="1"/>
  <c r="M61" i="37" s="1"/>
  <c r="M63" i="37" s="1"/>
  <c r="M64" i="36" s="1"/>
  <c r="AN33" i="38"/>
  <c r="AN34" i="38" s="1"/>
  <c r="AN36" i="38" s="1"/>
  <c r="H20" i="10"/>
  <c r="L27" i="37"/>
  <c r="L21" i="37" s="1"/>
  <c r="L61" i="37" s="1"/>
  <c r="L63" i="37" s="1"/>
  <c r="L64" i="36" s="1"/>
  <c r="AM33" i="38"/>
  <c r="L66" i="36" l="1"/>
  <c r="M66" i="36" s="1"/>
  <c r="I8" i="10"/>
  <c r="H23" i="10"/>
  <c r="N27" i="37"/>
  <c r="P27" i="37" l="1"/>
  <c r="W27" i="37" s="1"/>
  <c r="Z27" i="37"/>
  <c r="Z21" i="37" s="1"/>
  <c r="Z61" i="37" s="1"/>
  <c r="Z63" i="37" s="1"/>
  <c r="AC27" i="37"/>
  <c r="AD27" i="37"/>
  <c r="N21" i="37"/>
  <c r="I11" i="10"/>
  <c r="I14" i="10"/>
  <c r="I17" i="10" s="1"/>
  <c r="I20" i="10" l="1"/>
  <c r="AD21" i="37"/>
  <c r="P21" i="37"/>
  <c r="AC21" i="37"/>
  <c r="AC61" i="37" s="1"/>
  <c r="AC63" i="37" s="1"/>
  <c r="N61" i="37"/>
  <c r="W21" i="37" l="1"/>
  <c r="W61" i="37" s="1"/>
  <c r="W63" i="37" s="1"/>
  <c r="P61" i="37"/>
  <c r="P63" i="37" s="1"/>
  <c r="N63" i="37"/>
  <c r="AD61" i="37"/>
  <c r="I23" i="10"/>
  <c r="J8" i="10"/>
  <c r="AD63" i="37" l="1"/>
  <c r="N64" i="36"/>
  <c r="J14" i="10"/>
  <c r="J17" i="10" s="1"/>
  <c r="J11" i="10"/>
  <c r="J20" i="10"/>
  <c r="K8" i="10" l="1"/>
  <c r="J23" i="10"/>
  <c r="Z64" i="36"/>
  <c r="AD64" i="36"/>
  <c r="K11" i="10" l="1"/>
  <c r="K14" i="10"/>
  <c r="K17" i="10" s="1"/>
  <c r="K20" i="10" l="1"/>
  <c r="K23" i="10" l="1"/>
  <c r="L8" i="10"/>
  <c r="L14" i="10" l="1"/>
  <c r="L17" i="10" s="1"/>
  <c r="L11" i="10"/>
  <c r="L20" i="10" l="1"/>
  <c r="L23" i="10" l="1"/>
  <c r="M8" i="10"/>
  <c r="M11" i="10" l="1"/>
  <c r="M14" i="10"/>
  <c r="M17" i="10" s="1"/>
  <c r="M20" i="10" l="1"/>
  <c r="M23" i="10" l="1"/>
  <c r="N8" i="10"/>
  <c r="N14" i="10" l="1"/>
  <c r="Q8" i="10"/>
  <c r="Q11" i="10" s="1"/>
  <c r="N11" i="10"/>
  <c r="N20" i="10"/>
  <c r="Q20" i="10" l="1"/>
  <c r="Q23" i="10" s="1"/>
  <c r="N23" i="10"/>
  <c r="N17" i="10"/>
  <c r="Q14" i="10"/>
  <c r="Q17" i="10" s="1"/>
  <c r="AZ37" i="30" l="1"/>
  <c r="BB37" i="30" l="1"/>
  <c r="BB42" i="30" s="1"/>
  <c r="BB48" i="30" s="1"/>
  <c r="BB53" i="30" s="1"/>
  <c r="BB54" i="30" s="1"/>
  <c r="AZ38" i="30" l="1"/>
  <c r="AZ42" i="30" l="1"/>
  <c r="AZ48" i="30" s="1"/>
  <c r="AZ53" i="30" s="1"/>
  <c r="AZ54" i="30" s="1"/>
  <c r="BB38"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W55" authorId="0" shapeId="0" xr:uid="{00000000-0006-0000-0200-000001000000}">
      <text>
        <r>
          <rPr>
            <b/>
            <sz val="9"/>
            <color indexed="81"/>
            <rFont val="Tahoma"/>
            <family val="2"/>
          </rPr>
          <t>Alan MacLeod:</t>
        </r>
        <r>
          <rPr>
            <sz val="9"/>
            <color indexed="81"/>
            <rFont val="Tahoma"/>
            <family val="2"/>
          </rPr>
          <t xml:space="preserve">
Weekend Away</t>
        </r>
      </text>
    </comment>
    <comment ref="W58" authorId="0" shapeId="0" xr:uid="{00000000-0006-0000-0200-000002000000}">
      <text>
        <r>
          <rPr>
            <b/>
            <sz val="9"/>
            <color indexed="81"/>
            <rFont val="Tahoma"/>
            <family val="2"/>
          </rPr>
          <t>Alan MacLeod:</t>
        </r>
        <r>
          <rPr>
            <sz val="9"/>
            <color indexed="81"/>
            <rFont val="Tahoma"/>
            <family val="2"/>
          </rPr>
          <t xml:space="preserve">
Difference is ABA Funds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tc={76CE99ED-EF46-49F2-B6D0-9208362C1602}</author>
    <author>tc={B824ECD1-1A99-4CF1-8071-B05FEB9CAB3A}</author>
    <author>tc={C5ACA2B2-DD4C-4615-9CF3-78D2FEB91F04}</author>
  </authors>
  <commentList>
    <comment ref="M34" authorId="0" shapeId="0" xr:uid="{76CE99ED-EF46-49F2-B6D0-9208362C1602}">
      <text>
        <t>[Threaded comment]
Your version of Excel allows you to read this threaded comment; however, any edits to it will get removed if the file is opened in a newer version of Excel. Learn more: https://go.microsoft.com/fwlink/?linkid=870924
Comment:
    4375 for benevolent fund</t>
      </text>
    </comment>
    <comment ref="N34" authorId="1" shapeId="0" xr:uid="{B824ECD1-1A99-4CF1-8071-B05FEB9CAB3A}">
      <text>
        <t>[Threaded comment]
Your version of Excel allows you to read this threaded comment; however, any edits to it will get removed if the file is opened in a newer version of Excel. Learn more: https://go.microsoft.com/fwlink/?linkid=870924
Comment:
    345.77 for benevolent fund</t>
      </text>
    </comment>
    <comment ref="N58" authorId="2" shapeId="0" xr:uid="{C5ACA2B2-DD4C-4615-9CF3-78D2FEB91F04}">
      <text>
        <t>[Threaded comment]
Your version of Excel allows you to read this threaded comment; however, any edits to it will get removed if the file is opened in a newer version of Excel. Learn more: https://go.microsoft.com/fwlink/?linkid=870924
Comment:
    2378.8 moved to defray fabric roof</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tc={AB6B06E5-A7BB-4060-A83A-0A0CAA132428}</author>
  </authors>
  <commentList>
    <comment ref="N57" authorId="0" shapeId="0" xr:uid="{AB6B06E5-A7BB-4060-A83A-0A0CAA132428}">
      <text>
        <t>[Threaded comment]
Your version of Excel allows you to read this threaded comment; however, any edits to it will get removed if the file is opened in a newer version of Excel. Learn more: https://go.microsoft.com/fwlink/?linkid=870924
Comment:
    -4720.77 Benevolent fund</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W56" authorId="0" shapeId="0" xr:uid="{39B4DF96-348D-4F75-9BBA-90F1C20B27F8}">
      <text>
        <r>
          <rPr>
            <b/>
            <sz val="9"/>
            <color indexed="81"/>
            <rFont val="Tahoma"/>
            <family val="2"/>
          </rPr>
          <t>Alan MacLeod:</t>
        </r>
        <r>
          <rPr>
            <sz val="9"/>
            <color indexed="81"/>
            <rFont val="Tahoma"/>
            <family val="2"/>
          </rPr>
          <t xml:space="preserve">
Weekend Away</t>
        </r>
      </text>
    </comment>
    <comment ref="W59" authorId="0" shapeId="0" xr:uid="{9600692F-F344-43D0-8BF4-7D802175DD9E}">
      <text>
        <r>
          <rPr>
            <b/>
            <sz val="9"/>
            <color indexed="81"/>
            <rFont val="Tahoma"/>
            <family val="2"/>
          </rPr>
          <t>Alan MacLeod:</t>
        </r>
        <r>
          <rPr>
            <sz val="9"/>
            <color indexed="81"/>
            <rFont val="Tahoma"/>
            <family val="2"/>
          </rPr>
          <t xml:space="preserve">
Difference is ABA Funds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tc={2119A8F9-39AE-4AC6-A3BE-60CC79A9CA27}</author>
  </authors>
  <commentList>
    <comment ref="N34" authorId="0" shapeId="0" xr:uid="{2119A8F9-39AE-4AC6-A3BE-60CC79A9CA27}">
      <text>
        <t>[Threaded comment]
Your version of Excel allows you to read this threaded comment; however, any edits to it will get removed if the file is opened in a newer version of Excel. Learn more: https://go.microsoft.com/fwlink/?linkid=870924
Comment:
    Tax refund</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F57" authorId="0" shapeId="0" xr:uid="{E2FB497E-B672-4C99-AB25-3191FC7C83C9}">
      <text>
        <r>
          <rPr>
            <b/>
            <sz val="9"/>
            <color indexed="81"/>
            <rFont val="Tahoma"/>
            <family val="2"/>
          </rPr>
          <t>Alan MacLeod:</t>
        </r>
        <r>
          <rPr>
            <sz val="9"/>
            <color indexed="81"/>
            <rFont val="Tahoma"/>
            <family val="2"/>
          </rPr>
          <t xml:space="preserve">
In 2200 against General</t>
        </r>
      </text>
    </comment>
    <comment ref="H57" authorId="0" shapeId="0" xr:uid="{84B9E96F-946A-4687-97EB-7506FA43BA07}">
      <text>
        <r>
          <rPr>
            <b/>
            <sz val="9"/>
            <color indexed="81"/>
            <rFont val="Tahoma"/>
            <family val="2"/>
          </rPr>
          <t>Alan MacLeod:</t>
        </r>
        <r>
          <rPr>
            <sz val="9"/>
            <color indexed="81"/>
            <rFont val="Tahoma"/>
            <family val="2"/>
          </rPr>
          <t xml:space="preserve">
In 2200 against General</t>
        </r>
      </text>
    </comment>
    <comment ref="L57" authorId="0" shapeId="0" xr:uid="{275EA6A5-ED27-4FD6-A46D-01DB73B8B4A3}">
      <text>
        <r>
          <rPr>
            <b/>
            <sz val="9"/>
            <color indexed="81"/>
            <rFont val="Tahoma"/>
            <family val="2"/>
          </rPr>
          <t>Alan MacLeod:</t>
        </r>
        <r>
          <rPr>
            <sz val="9"/>
            <color indexed="81"/>
            <rFont val="Tahoma"/>
            <family val="2"/>
          </rPr>
          <t xml:space="preserve">
In 2200 against General</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J56" authorId="0" shapeId="0" xr:uid="{A93186BD-6E68-4CD6-B220-BB82661A43D5}">
      <text>
        <r>
          <rPr>
            <b/>
            <sz val="9"/>
            <color indexed="81"/>
            <rFont val="Tahoma"/>
            <family val="2"/>
          </rPr>
          <t>Alan MacLeod:</t>
        </r>
        <r>
          <rPr>
            <sz val="9"/>
            <color indexed="81"/>
            <rFont val="Tahoma"/>
            <family val="2"/>
          </rPr>
          <t xml:space="preserve">
AIYF Concert</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G26" authorId="0" shapeId="0" xr:uid="{5E6F5159-44C6-45CE-AD5F-F0196994E6C1}">
      <text>
        <r>
          <rPr>
            <b/>
            <sz val="9"/>
            <color indexed="81"/>
            <rFont val="Tahoma"/>
            <family val="2"/>
          </rPr>
          <t>Alan MacLeod:</t>
        </r>
        <r>
          <rPr>
            <sz val="9"/>
            <color indexed="81"/>
            <rFont val="Tahoma"/>
            <family val="2"/>
          </rPr>
          <t xml:space="preserve">
Guild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Alan MacLeod</author>
  </authors>
  <commentList>
    <comment ref="H59" authorId="0" shapeId="0" xr:uid="{0D66B358-8B85-47DB-AC60-BB1BF7ADFD2D}">
      <text>
        <r>
          <rPr>
            <b/>
            <sz val="9"/>
            <color indexed="81"/>
            <rFont val="Tahoma"/>
            <family val="2"/>
          </rPr>
          <t>Alan MacLeod:</t>
        </r>
        <r>
          <rPr>
            <sz val="9"/>
            <color indexed="81"/>
            <rFont val="Tahoma"/>
            <family val="2"/>
          </rPr>
          <t xml:space="preserve">
Guild</t>
        </r>
      </text>
    </comment>
  </commentList>
</comments>
</file>

<file path=xl/sharedStrings.xml><?xml version="1.0" encoding="utf-8"?>
<sst xmlns="http://schemas.openxmlformats.org/spreadsheetml/2006/main" count="3413" uniqueCount="529">
  <si>
    <t>Banchory-Ternan West Parish Church</t>
  </si>
  <si>
    <t>Accounts</t>
  </si>
  <si>
    <t>Overall Funds</t>
  </si>
  <si>
    <t>Income is £5k above budget, giving and gift aid is £5k over budget, investment income is £2k above budget</t>
  </si>
  <si>
    <t>Expenditure is £3k over budget, salaries are £2k under budget, fabric is £3k over budget, heat and light is £2k over budget, Youth programme is £1k over budget</t>
  </si>
  <si>
    <t>Ordinary Income is £3k up from last year - this is giving and gift aid</t>
  </si>
  <si>
    <t>Expenditure is up £13k from last year, Giving 2Grow is up £2k, salaries £1k, fabric by £8k, heat and light by £1k, youth programme is down by £1k, music &amp; IT by £4k</t>
  </si>
  <si>
    <t>We have c. £180k in our bank accounts</t>
  </si>
  <si>
    <t>Budgeted deficit for ordinary income and expenditure is £13k.</t>
  </si>
  <si>
    <t>Forecast deficit for ordinary income and expenditure is £13k.</t>
  </si>
  <si>
    <t>Income &amp; Expenditure Statement</t>
  </si>
  <si>
    <t>Same</t>
  </si>
  <si>
    <t>OVERALL FUNDS: INCOME</t>
  </si>
  <si>
    <t>Period</t>
  </si>
  <si>
    <t>Gift Aid</t>
  </si>
  <si>
    <t>Wrong</t>
  </si>
  <si>
    <t>C Card</t>
  </si>
  <si>
    <t>Ministries</t>
  </si>
  <si>
    <t>ABA</t>
  </si>
  <si>
    <t>Church</t>
  </si>
  <si>
    <t>YTD</t>
  </si>
  <si>
    <t>%</t>
  </si>
  <si>
    <t>Jan</t>
  </si>
  <si>
    <t>Feb</t>
  </si>
  <si>
    <t>Mar</t>
  </si>
  <si>
    <t>Apr</t>
  </si>
  <si>
    <t>May</t>
  </si>
  <si>
    <t>Jun</t>
  </si>
  <si>
    <t>Jul</t>
  </si>
  <si>
    <t>Aug</t>
  </si>
  <si>
    <t>Sep</t>
  </si>
  <si>
    <t>Oct</t>
  </si>
  <si>
    <t>Nov</t>
  </si>
  <si>
    <t>Dec</t>
  </si>
  <si>
    <t>Tot</t>
  </si>
  <si>
    <t>TB</t>
  </si>
  <si>
    <t>Variance</t>
  </si>
  <si>
    <t>Transfer</t>
  </si>
  <si>
    <t>Year</t>
  </si>
  <si>
    <t>Council</t>
  </si>
  <si>
    <t>Funds</t>
  </si>
  <si>
    <t>Weekend</t>
  </si>
  <si>
    <t>Budget</t>
  </si>
  <si>
    <t>Actual</t>
  </si>
  <si>
    <t>Incoming Resources from Generated Funds</t>
  </si>
  <si>
    <r>
      <rPr>
        <b/>
        <sz val="11"/>
        <color indexed="8"/>
        <rFont val="Calibri"/>
        <family val="2"/>
      </rPr>
      <t xml:space="preserve">  </t>
    </r>
    <r>
      <rPr>
        <b/>
        <u/>
        <sz val="11"/>
        <color indexed="8"/>
        <rFont val="Calibri"/>
        <family val="2"/>
      </rPr>
      <t>Voluntary Income</t>
    </r>
  </si>
  <si>
    <r>
      <t xml:space="preserve">    </t>
    </r>
    <r>
      <rPr>
        <b/>
        <u/>
        <sz val="11"/>
        <color indexed="8"/>
        <rFont val="Calibri"/>
        <family val="2"/>
      </rPr>
      <t>Offerings</t>
    </r>
  </si>
  <si>
    <t>Gift Aid Standing Orders</t>
  </si>
  <si>
    <t>Non Gift Aid standing</t>
  </si>
  <si>
    <t>Gift Aid Declarations</t>
  </si>
  <si>
    <t>WFO Scheme</t>
  </si>
  <si>
    <t>Open Plate</t>
  </si>
  <si>
    <t>Other Offerings</t>
  </si>
  <si>
    <t xml:space="preserve">    Total Offerings</t>
  </si>
  <si>
    <r>
      <t xml:space="preserve">    </t>
    </r>
    <r>
      <rPr>
        <b/>
        <u/>
        <sz val="11"/>
        <color indexed="8"/>
        <rFont val="Calibri"/>
        <family val="2"/>
      </rPr>
      <t>Offerings (Local Ministry)</t>
    </r>
  </si>
  <si>
    <t xml:space="preserve">    Total Offerings (Local Ministry)</t>
  </si>
  <si>
    <r>
      <t xml:space="preserve">    </t>
    </r>
    <r>
      <rPr>
        <b/>
        <u/>
        <sz val="11"/>
        <color indexed="8"/>
        <rFont val="Calibri"/>
        <family val="2"/>
      </rPr>
      <t>Tax Recovered on Gift Aid</t>
    </r>
  </si>
  <si>
    <t>Tax Recovered on Gift Aid</t>
  </si>
  <si>
    <t xml:space="preserve">    Total Tax Recovered on Gift Aid</t>
  </si>
  <si>
    <r>
      <t xml:space="preserve">    </t>
    </r>
    <r>
      <rPr>
        <b/>
        <u/>
        <sz val="11"/>
        <color indexed="8"/>
        <rFont val="Calibri"/>
        <family val="2"/>
      </rPr>
      <t>Legacies</t>
    </r>
  </si>
  <si>
    <t>Legacies</t>
  </si>
  <si>
    <t xml:space="preserve">    Total Legacies</t>
  </si>
  <si>
    <r>
      <t xml:space="preserve">    </t>
    </r>
    <r>
      <rPr>
        <b/>
        <i/>
        <u/>
        <sz val="11"/>
        <color theme="1"/>
        <rFont val="Calibri"/>
        <family val="2"/>
        <scheme val="minor"/>
      </rPr>
      <t>Other Donations</t>
    </r>
  </si>
  <si>
    <t>Donations to Other Funds</t>
  </si>
  <si>
    <t>Donations to Church Organisations</t>
  </si>
  <si>
    <t>Funds Generated by Church Organisations</t>
  </si>
  <si>
    <t xml:space="preserve">    Total Other Donations</t>
  </si>
  <si>
    <t xml:space="preserve">  Total Voluntary Income</t>
  </si>
  <si>
    <r>
      <rPr>
        <b/>
        <sz val="11"/>
        <color theme="1"/>
        <rFont val="Calibri"/>
        <family val="2"/>
        <scheme val="minor"/>
      </rPr>
      <t xml:space="preserve"> </t>
    </r>
    <r>
      <rPr>
        <b/>
        <u/>
        <sz val="11"/>
        <color theme="1"/>
        <rFont val="Calibri"/>
        <family val="2"/>
        <scheme val="minor"/>
      </rPr>
      <t xml:space="preserve"> Activities for Generating Funds</t>
    </r>
  </si>
  <si>
    <t>Use of Premises</t>
  </si>
  <si>
    <t xml:space="preserve">  Total Activities for Generating Funds</t>
  </si>
  <si>
    <r>
      <rPr>
        <b/>
        <sz val="11"/>
        <color theme="1"/>
        <rFont val="Calibri"/>
        <family val="2"/>
        <scheme val="minor"/>
      </rPr>
      <t xml:space="preserve">  </t>
    </r>
    <r>
      <rPr>
        <b/>
        <u/>
        <sz val="11"/>
        <color theme="1"/>
        <rFont val="Calibri"/>
        <family val="2"/>
        <scheme val="minor"/>
      </rPr>
      <t>Investment Income</t>
    </r>
  </si>
  <si>
    <t>Deposit Interest</t>
  </si>
  <si>
    <t>Bank Interest</t>
  </si>
  <si>
    <t xml:space="preserve">  Total Investment Income</t>
  </si>
  <si>
    <t>Total Incoming Resources from Generated Funds</t>
  </si>
  <si>
    <t>Incoming Resources from Charitable Activities</t>
  </si>
  <si>
    <t>Weddings and Funerals</t>
  </si>
  <si>
    <t>Christmas Card Delivery (net)</t>
  </si>
  <si>
    <t>Other Charitable Activities</t>
  </si>
  <si>
    <t>Other voluntary income</t>
  </si>
  <si>
    <t>Activities by Church Organisations</t>
  </si>
  <si>
    <t>Total Incoming Resources from Charitable Activities</t>
  </si>
  <si>
    <t>Total Incoming Resources</t>
  </si>
  <si>
    <t>NET IMPACT ON OVERALL FUNDS</t>
  </si>
  <si>
    <t>CUMULATIVE POSITION</t>
  </si>
  <si>
    <t>OVERALL FUNDS: EXPENDITURE</t>
  </si>
  <si>
    <t>Costs of Generating Funds</t>
  </si>
  <si>
    <t>Offering Envelopes</t>
  </si>
  <si>
    <t>Stewardship Campaign Costs</t>
  </si>
  <si>
    <t>Total Costs of Generating Funds</t>
  </si>
  <si>
    <t>Charitable Activities</t>
  </si>
  <si>
    <t>Ministries and Mission Allocation</t>
  </si>
  <si>
    <t>Presbytery Dues</t>
  </si>
  <si>
    <t>Minister's Expenses</t>
  </si>
  <si>
    <t>Telephone</t>
  </si>
  <si>
    <t>Travel</t>
  </si>
  <si>
    <t>Ministerial Assistance</t>
  </si>
  <si>
    <t>Pulpit Supply</t>
  </si>
  <si>
    <t>Other Salary Costs</t>
  </si>
  <si>
    <t>Organist Salary</t>
  </si>
  <si>
    <t>Cleaner Salary</t>
  </si>
  <si>
    <t>Pension Payments</t>
  </si>
  <si>
    <t>Church Officer Salary</t>
  </si>
  <si>
    <t>Church Secretary Salary</t>
  </si>
  <si>
    <t>Youth Worker Salary</t>
  </si>
  <si>
    <t>Inland Revenue (PAYE)</t>
  </si>
  <si>
    <t>Church Treasurer Salary</t>
  </si>
  <si>
    <t>AV Technician</t>
  </si>
  <si>
    <t>Childrens Worker Salary</t>
  </si>
  <si>
    <t>Fabric Repairs &amp; Maintenance</t>
  </si>
  <si>
    <t>Church buildings</t>
  </si>
  <si>
    <t>Manse</t>
  </si>
  <si>
    <t>Council Tax</t>
  </si>
  <si>
    <t>Other Buildings Costs</t>
  </si>
  <si>
    <t>Heating and lighting</t>
  </si>
  <si>
    <t>Water Rates</t>
  </si>
  <si>
    <t>Buildings insurance</t>
  </si>
  <si>
    <t>Church Office Expenses</t>
  </si>
  <si>
    <t>Telephone and post</t>
  </si>
  <si>
    <t>Print, Stationary and copying</t>
  </si>
  <si>
    <t>Youth Programme</t>
  </si>
  <si>
    <t>Music &amp; IT</t>
  </si>
  <si>
    <t>Instrument maintenance</t>
  </si>
  <si>
    <t>Music expenses</t>
  </si>
  <si>
    <t>IT expenses</t>
  </si>
  <si>
    <t>Other Expenses</t>
  </si>
  <si>
    <t>Donations to Outside Organisations</t>
  </si>
  <si>
    <t>Other General Expenses</t>
  </si>
  <si>
    <t>Activities by Other Funds</t>
  </si>
  <si>
    <t>Activities by Church Teams</t>
  </si>
  <si>
    <t>Total Charitable Activities</t>
  </si>
  <si>
    <t>Total Expenses</t>
  </si>
  <si>
    <t>GENERAL FUND: INCOME</t>
  </si>
  <si>
    <t>N/L Code</t>
  </si>
  <si>
    <t>0101</t>
  </si>
  <si>
    <t>0102</t>
  </si>
  <si>
    <t>0105</t>
  </si>
  <si>
    <t>0110</t>
  </si>
  <si>
    <t>0115</t>
  </si>
  <si>
    <t>0119</t>
  </si>
  <si>
    <t>0103</t>
  </si>
  <si>
    <t>0104</t>
  </si>
  <si>
    <t>0106</t>
  </si>
  <si>
    <t>0111</t>
  </si>
  <si>
    <t>0120</t>
  </si>
  <si>
    <t>0130</t>
  </si>
  <si>
    <r>
      <t xml:space="preserve">    </t>
    </r>
    <r>
      <rPr>
        <b/>
        <u/>
        <sz val="11"/>
        <color theme="1"/>
        <rFont val="Calibri"/>
        <family val="2"/>
        <scheme val="minor"/>
      </rPr>
      <t>Other Donations</t>
    </r>
  </si>
  <si>
    <t>0193; 0199</t>
  </si>
  <si>
    <t>0195</t>
  </si>
  <si>
    <t>0280</t>
  </si>
  <si>
    <t>0201</t>
  </si>
  <si>
    <t>0301; 0305</t>
  </si>
  <si>
    <t>0320; 0325</t>
  </si>
  <si>
    <t>0401</t>
  </si>
  <si>
    <t>0403</t>
  </si>
  <si>
    <t>0410</t>
  </si>
  <si>
    <t>0190</t>
  </si>
  <si>
    <t>Church Weekend Away</t>
  </si>
  <si>
    <t>0140; 0210; 0450; 0900</t>
  </si>
  <si>
    <t>NET IMPACT ON FUND</t>
  </si>
  <si>
    <t>GENERAL FUND: EXPENDITURE</t>
  </si>
  <si>
    <t>1002</t>
  </si>
  <si>
    <t>1201</t>
  </si>
  <si>
    <t>Prebytery Dues</t>
  </si>
  <si>
    <t>1205</t>
  </si>
  <si>
    <t>…see below…</t>
  </si>
  <si>
    <t>1420</t>
  </si>
  <si>
    <t>1440</t>
  </si>
  <si>
    <t>1500</t>
  </si>
  <si>
    <t>1600</t>
  </si>
  <si>
    <t>1710</t>
  </si>
  <si>
    <t>1720</t>
  </si>
  <si>
    <t>1725</t>
  </si>
  <si>
    <t>1730</t>
  </si>
  <si>
    <t>1740</t>
  </si>
  <si>
    <t>1750 / 1725</t>
  </si>
  <si>
    <t>1760</t>
  </si>
  <si>
    <t>1770</t>
  </si>
  <si>
    <t>1765</t>
  </si>
  <si>
    <t>1755</t>
  </si>
  <si>
    <t>Media Coordinator</t>
  </si>
  <si>
    <t>1820</t>
  </si>
  <si>
    <t>1840</t>
  </si>
  <si>
    <t>1900</t>
  </si>
  <si>
    <t>2020</t>
  </si>
  <si>
    <t>2030</t>
  </si>
  <si>
    <t>2040</t>
  </si>
  <si>
    <t>2120</t>
  </si>
  <si>
    <t>Print, Stationery and copying</t>
  </si>
  <si>
    <t>2140</t>
  </si>
  <si>
    <t>e</t>
  </si>
  <si>
    <t>1520</t>
  </si>
  <si>
    <t>2220</t>
  </si>
  <si>
    <t>2230</t>
  </si>
  <si>
    <t>2250</t>
  </si>
  <si>
    <t>2400</t>
  </si>
  <si>
    <t>2500</t>
  </si>
  <si>
    <t>2580</t>
  </si>
  <si>
    <t>2590</t>
  </si>
  <si>
    <t>Activities by Church Teams**</t>
  </si>
  <si>
    <t>2200</t>
  </si>
  <si>
    <t>End</t>
  </si>
  <si>
    <t>Endowment Fund.  Only income from fund can be distributed.</t>
  </si>
  <si>
    <t>Des.</t>
  </si>
  <si>
    <t>Designated Fund.  No restriction on use.  However, practice is to utilise where it is</t>
  </si>
  <si>
    <t>Fund Analysis</t>
  </si>
  <si>
    <t>Res</t>
  </si>
  <si>
    <t>Restricted Fund.  Funds must be used for designated purpose.</t>
  </si>
  <si>
    <t>allocated at time of receipt.</t>
  </si>
  <si>
    <t>Per Accounts Filed for 2021</t>
  </si>
  <si>
    <t>Per System</t>
  </si>
  <si>
    <t>Movement</t>
  </si>
  <si>
    <t>Balance at Period End</t>
  </si>
  <si>
    <t>Des</t>
  </si>
  <si>
    <t>Sub-Total</t>
  </si>
  <si>
    <t>Total</t>
  </si>
  <si>
    <t>Next Level</t>
  </si>
  <si>
    <t>Purposes of the Funds</t>
  </si>
  <si>
    <t>Adam Farm Servants'</t>
  </si>
  <si>
    <t>Benevolent Fund purposes</t>
  </si>
  <si>
    <t>Adam Gravestone</t>
  </si>
  <si>
    <t>Upkeep of gravestones in Old Banchory Cemetery</t>
  </si>
  <si>
    <t>Aldersyde</t>
  </si>
  <si>
    <t>Minister's Pension fund</t>
  </si>
  <si>
    <t>Benevolent End</t>
  </si>
  <si>
    <t>Distribution amongst the poor of the Parish at Minister's discretion</t>
  </si>
  <si>
    <t>J Low Gravestone</t>
  </si>
  <si>
    <t>Lynnwood</t>
  </si>
  <si>
    <t>Minister's Stipend fund</t>
  </si>
  <si>
    <t>McDonald</t>
  </si>
  <si>
    <t>General Fund purposes</t>
  </si>
  <si>
    <t>McIntosh</t>
  </si>
  <si>
    <t>Providing flowers in the Church on the first Sunday of January</t>
  </si>
  <si>
    <t>Paterson</t>
  </si>
  <si>
    <t>Upkeep of the Fabric of the Church</t>
  </si>
  <si>
    <t>Ronald Stephen Memorial</t>
  </si>
  <si>
    <t>Fabric repairs to outside and inside of Church and outside of Manse</t>
  </si>
  <si>
    <t>Scorgie</t>
  </si>
  <si>
    <t>Strachan</t>
  </si>
  <si>
    <t>Sunday School</t>
  </si>
  <si>
    <t>Provision of Sunday School materials</t>
  </si>
  <si>
    <t>Flower</t>
  </si>
  <si>
    <t>Providing flowers in the Church</t>
  </si>
  <si>
    <t>Organ</t>
  </si>
  <si>
    <t>Repair and upkeep of the Organ</t>
  </si>
  <si>
    <t>Reith</t>
  </si>
  <si>
    <t>To fund annual insurance on the Reith Screen in the Church</t>
  </si>
  <si>
    <t>Fabric</t>
  </si>
  <si>
    <t>Set aside for the maintenance of Church property</t>
  </si>
  <si>
    <t>SFS</t>
  </si>
  <si>
    <t>Set aside to provide financial support to members of the Congregation serving at home or abroad for 6 months or more under the umbrella of a Christian organisation</t>
  </si>
  <si>
    <t>Youth Project</t>
  </si>
  <si>
    <t>General</t>
  </si>
  <si>
    <t>For day to day running of the Church</t>
  </si>
  <si>
    <t>Church Groups</t>
  </si>
  <si>
    <t>Friday</t>
  </si>
  <si>
    <t>Guild</t>
  </si>
  <si>
    <t>Noah</t>
  </si>
  <si>
    <t>Sunday Fun</t>
  </si>
  <si>
    <t>SNL</t>
  </si>
  <si>
    <t>Clydesdale C/A</t>
  </si>
  <si>
    <t>Clydesdale Local</t>
  </si>
  <si>
    <t>Shawbrook Account</t>
  </si>
  <si>
    <t>New Savings Account - 1yr deposit</t>
  </si>
  <si>
    <t>CofS Deposit</t>
  </si>
  <si>
    <t>Flower Fund</t>
  </si>
  <si>
    <t>Friday Coffee</t>
  </si>
  <si>
    <t>Noahs Ark</t>
  </si>
  <si>
    <t>Agency collections</t>
  </si>
  <si>
    <t>Debtors:</t>
  </si>
  <si>
    <t>- gift aid claim due</t>
  </si>
  <si>
    <t>Accruals / Other Non-Cash Items:-</t>
  </si>
  <si>
    <t>Reconciliation</t>
  </si>
  <si>
    <t>Dr</t>
  </si>
  <si>
    <t>Cr</t>
  </si>
  <si>
    <t>Code 0105</t>
  </si>
  <si>
    <t>Alan Smith</t>
  </si>
  <si>
    <t>Code 0190</t>
  </si>
  <si>
    <t>Donations</t>
  </si>
  <si>
    <t>Code 2200</t>
  </si>
  <si>
    <t>Monies sent to ABA</t>
  </si>
  <si>
    <t>P&amp;L Total</t>
  </si>
  <si>
    <t>Code 5001</t>
  </si>
  <si>
    <t>Code 5006</t>
  </si>
  <si>
    <t>Monies Sent to ABA</t>
  </si>
  <si>
    <t>BS Total</t>
  </si>
  <si>
    <t>2015 Accounts</t>
  </si>
  <si>
    <t>System</t>
  </si>
  <si>
    <t>cnocode</t>
  </si>
  <si>
    <t>cnodesc</t>
  </si>
  <si>
    <t>cclclass</t>
  </si>
  <si>
    <t>openbal</t>
  </si>
  <si>
    <t>debit</t>
  </si>
  <si>
    <t>credit</t>
  </si>
  <si>
    <t>closebal</t>
  </si>
  <si>
    <t>Gift Aid standing orders</t>
  </si>
  <si>
    <t>in</t>
  </si>
  <si>
    <t>6 items - see below:</t>
  </si>
  <si>
    <t>Non Gift Aid standing orders</t>
  </si>
  <si>
    <t>Entered with wrong year.</t>
  </si>
  <si>
    <t>Gift Aid declarations</t>
  </si>
  <si>
    <t>Weekly offering Envelopes</t>
  </si>
  <si>
    <t>Open plate</t>
  </si>
  <si>
    <t>Other offerings</t>
  </si>
  <si>
    <t>Tax recovered on Gift Aid</t>
  </si>
  <si>
    <t>0140</t>
  </si>
  <si>
    <t>Donations from outside organisations</t>
  </si>
  <si>
    <t>0193</t>
  </si>
  <si>
    <t>Donations to other funds</t>
  </si>
  <si>
    <t>0199</t>
  </si>
  <si>
    <t>TFR from next level B fund</t>
  </si>
  <si>
    <t>Use of premises</t>
  </si>
  <si>
    <t>2 items - see below:</t>
  </si>
  <si>
    <t>0210</t>
  </si>
  <si>
    <t>Other activities</t>
  </si>
  <si>
    <t>Funds generated by Church Organisations</t>
  </si>
  <si>
    <t>0301</t>
  </si>
  <si>
    <t>Deposit interest (General Fund)</t>
  </si>
  <si>
    <t>0305</t>
  </si>
  <si>
    <t>Deposit interest (Other Funds)</t>
  </si>
  <si>
    <t>Weddings and funerals</t>
  </si>
  <si>
    <t>Christmas card delivery</t>
  </si>
  <si>
    <t>Other general charitable activities</t>
  </si>
  <si>
    <t>0450</t>
  </si>
  <si>
    <t>Other activities by church organisations</t>
  </si>
  <si>
    <t>0900</t>
  </si>
  <si>
    <t>Other incoming resources</t>
  </si>
  <si>
    <t>Offering envelopes</t>
  </si>
  <si>
    <t>ex</t>
  </si>
  <si>
    <t>Ministries and mission allocation</t>
  </si>
  <si>
    <t>Presbytery dues</t>
  </si>
  <si>
    <t>Minister travel expenses</t>
  </si>
  <si>
    <t>Youth programme</t>
  </si>
  <si>
    <t>Cleaner salary</t>
  </si>
  <si>
    <t>Church officer salary</t>
  </si>
  <si>
    <t>Church secretary salary</t>
  </si>
  <si>
    <t>1750</t>
  </si>
  <si>
    <t>Amy Pierce Youth worker</t>
  </si>
  <si>
    <t>Interim Youth Co-ordinator</t>
  </si>
  <si>
    <t>Inland Revenue PAYE</t>
  </si>
  <si>
    <t>Church Treasurer</t>
  </si>
  <si>
    <t>Church buildings repairs and maintenance</t>
  </si>
  <si>
    <t>Council tax</t>
  </si>
  <si>
    <t>Church telephone and post</t>
  </si>
  <si>
    <t>Church print stationery and copying</t>
  </si>
  <si>
    <t>Activities by church teams</t>
  </si>
  <si>
    <t>Donations to outside organisations</t>
  </si>
  <si>
    <t>Other general expenses</t>
  </si>
  <si>
    <t>2501</t>
  </si>
  <si>
    <t>New Church Build</t>
  </si>
  <si>
    <t>Activities by other funds</t>
  </si>
  <si>
    <t>Activities by church organisations</t>
  </si>
  <si>
    <t>5001</t>
  </si>
  <si>
    <t>clydesdale current account</t>
  </si>
  <si>
    <t>ca</t>
  </si>
  <si>
    <t>5003</t>
  </si>
  <si>
    <t>Clydesdale Local Ministry current Acct.</t>
  </si>
  <si>
    <t>5006</t>
  </si>
  <si>
    <t>Clydesdale Aba Account</t>
  </si>
  <si>
    <t>5010</t>
  </si>
  <si>
    <t>Church of Scotland Deposit Fund</t>
  </si>
  <si>
    <t>5021</t>
  </si>
  <si>
    <t>CAF Bank Savings Account</t>
  </si>
  <si>
    <t>5301</t>
  </si>
  <si>
    <t>5302</t>
  </si>
  <si>
    <t>Friday Coffee Group</t>
  </si>
  <si>
    <t>5303</t>
  </si>
  <si>
    <t>5304</t>
  </si>
  <si>
    <t>5305</t>
  </si>
  <si>
    <t>6699</t>
  </si>
  <si>
    <t>lb</t>
  </si>
  <si>
    <t>Starting balance</t>
  </si>
  <si>
    <t>Sub-total</t>
  </si>
  <si>
    <t>OVERALL FUNDS: INCOME FORECAST</t>
  </si>
  <si>
    <t>Gift Aid Accrual</t>
  </si>
  <si>
    <t>F'cast:-</t>
  </si>
  <si>
    <t>Budget 2021</t>
  </si>
  <si>
    <t>Christmas Card Delivery</t>
  </si>
  <si>
    <t>Other Volutary Income</t>
  </si>
  <si>
    <t>Church Organisations are:</t>
  </si>
  <si>
    <t>Friday Coffees</t>
  </si>
  <si>
    <t>Junior Church</t>
  </si>
  <si>
    <t>Interim Youth Worker</t>
  </si>
  <si>
    <t>As at 31 December 2024</t>
  </si>
  <si>
    <t>OVERALL FUNDS: EXPENDITURE FORECAST</t>
  </si>
  <si>
    <t>Other Media Expenses</t>
  </si>
  <si>
    <t>** Activities by Church Teams</t>
  </si>
  <si>
    <t>Discipleship</t>
  </si>
  <si>
    <t>Worship Support</t>
  </si>
  <si>
    <t>C&amp;O (Including Contact)</t>
  </si>
  <si>
    <t>PC&amp;F</t>
  </si>
  <si>
    <t>World Church</t>
  </si>
  <si>
    <t>Training and Conferences</t>
  </si>
  <si>
    <t>Support for Service</t>
  </si>
  <si>
    <t>Total Activities by Church Teams</t>
  </si>
  <si>
    <t>Check</t>
  </si>
  <si>
    <t>Uganda</t>
  </si>
  <si>
    <t>Contact</t>
  </si>
  <si>
    <t>Final</t>
  </si>
  <si>
    <t>Salary Calculations</t>
  </si>
  <si>
    <t>Annual</t>
  </si>
  <si>
    <t>Pro-Rata</t>
  </si>
  <si>
    <t>£</t>
  </si>
  <si>
    <t>Pension</t>
  </si>
  <si>
    <t>NI Level</t>
  </si>
  <si>
    <t>NI</t>
  </si>
  <si>
    <t>Name</t>
  </si>
  <si>
    <t>Role</t>
  </si>
  <si>
    <t>Status</t>
  </si>
  <si>
    <t>Pay Type</t>
  </si>
  <si>
    <t>Hrs</t>
  </si>
  <si>
    <t>Rate</t>
  </si>
  <si>
    <t>Uplift</t>
  </si>
  <si>
    <t>Wks</t>
  </si>
  <si>
    <t>Wkly</t>
  </si>
  <si>
    <t>Mthly</t>
  </si>
  <si>
    <t>Comments</t>
  </si>
  <si>
    <t>Cost</t>
  </si>
  <si>
    <t>Due</t>
  </si>
  <si>
    <t>Due On</t>
  </si>
  <si>
    <t>Value</t>
  </si>
  <si>
    <t>Amy Pierce</t>
  </si>
  <si>
    <t>Youth Worker</t>
  </si>
  <si>
    <t>Emp</t>
  </si>
  <si>
    <t>Monthly</t>
  </si>
  <si>
    <t>Feb 17 onwards</t>
  </si>
  <si>
    <t>Chloe Hutchison</t>
  </si>
  <si>
    <t>Youth Worker (Interim)</t>
  </si>
  <si>
    <t>To Aug 17</t>
  </si>
  <si>
    <t>Oct 17 onwards</t>
  </si>
  <si>
    <t>Jill Smith</t>
  </si>
  <si>
    <t>Church Secretary</t>
  </si>
  <si>
    <t>Weekly</t>
  </si>
  <si>
    <t>Deborah Bovaird</t>
  </si>
  <si>
    <t>General Treasurer</t>
  </si>
  <si>
    <t>Emma Louise</t>
  </si>
  <si>
    <t>Janie Gray</t>
  </si>
  <si>
    <t>Isabella Murison</t>
  </si>
  <si>
    <t>Cleaner</t>
  </si>
  <si>
    <t>2015 living wage</t>
  </si>
  <si>
    <t>Kathy Davy</t>
  </si>
  <si>
    <t>Musical Director</t>
  </si>
  <si>
    <t>Self</t>
  </si>
  <si>
    <t>n/a</t>
  </si>
  <si>
    <t>Annual NI Allowance</t>
  </si>
  <si>
    <t>Payroll Comments:</t>
  </si>
  <si>
    <t>Amy Pierce Annual Costs:</t>
  </si>
  <si>
    <t>Amy pension will increase annually by 2.5% up to a maximum of 10%</t>
  </si>
  <si>
    <t>Pre-</t>
  </si>
  <si>
    <t>Post-</t>
  </si>
  <si>
    <t>September 2017 onwards budgeted as if Amy returns to full time employment</t>
  </si>
  <si>
    <t>Ordain</t>
  </si>
  <si>
    <t>General salaries will be reviewed if there is a change in the UK living wage</t>
  </si>
  <si>
    <t>Salary</t>
  </si>
  <si>
    <t>The NEST Pension scheme is used.  2% collective contribution until April 2018.</t>
  </si>
  <si>
    <t>ER's NIC</t>
  </si>
  <si>
    <t>Inland Revenue (NIC)</t>
  </si>
  <si>
    <t>FABRIC FUND: EXPENDITURE</t>
  </si>
  <si>
    <t>Audit No.</t>
  </si>
  <si>
    <t>Debit a/c</t>
  </si>
  <si>
    <t>Credit a/c</t>
  </si>
  <si>
    <t>Fund</t>
  </si>
  <si>
    <t>Action</t>
  </si>
  <si>
    <t>Reverse Audit No.</t>
  </si>
  <si>
    <t>New Audit No.</t>
  </si>
  <si>
    <t>Amount</t>
  </si>
  <si>
    <t>Comment</t>
  </si>
  <si>
    <t>Reverse</t>
  </si>
  <si>
    <t>Shawbrook Account Transfer; should just be between bank accounts not income and expense
Use the Transactions assistant and then the Account / fund transfers tab and the the Bank and Fund transfers button
Date 21/11/2019 Cheque 4038
Pick the Transfer between 2 bank accounts for the same fund option
Coming out of account 5001, going into account 5070
Fund is General
Save and post</t>
  </si>
  <si>
    <t>Shawbrook Account Transfer; should just be between bank accounts not income and expense
Use the Transactions assistant and then the Account / fund transfers tab and the the Bank and Fund transfers button
Date 21/11/2019 Cheque 4039
Pick the Transfer between 2 bank accounts for the same fund option
Coming out of account 5001, going into account 5070
Fund is General
Save and post</t>
  </si>
  <si>
    <t>Refund should be posted against the church buildings account</t>
  </si>
  <si>
    <t>Giuseppe pays £50 pre month into both 0101 and 0103.  In January the 0101 amount was posted against the 5003 account rather than the 5001 account</t>
  </si>
  <si>
    <t>Change income from 0201 to 0401</t>
  </si>
  <si>
    <t xml:space="preserve">The £1.72 was in a Clydedale Bank Account, Nominal Account 5006.  We need to post the £1.72 from 5006 to 5001.
Use the same technique as for Shawbrook </t>
  </si>
  <si>
    <t>Same treatment as Guild gift aid</t>
  </si>
  <si>
    <t>Treat the same as the other collection money which was recorded in 0900, then reversed 1019058 and 1019059 because there was a £40 withdrawal from the ATM in the bank statement described as 'Banchory, Card 99'
Strangely the Grantor / Agency says Fiona Worthy</t>
  </si>
  <si>
    <t>Youth</t>
  </si>
  <si>
    <t>Take the giving into the main bank account but for the LM fund</t>
  </si>
  <si>
    <t>Transfer sum from 5001 to 5003</t>
  </si>
  <si>
    <t>Amend Fund</t>
  </si>
  <si>
    <t>Use the List Transactions tool to find the records and edit each of them.  In each case only the fund needs to be changed from Organ to General.  Then Store and Post.  Going forward we need to mark the Organ Fund as Inactive.</t>
  </si>
  <si>
    <t>Amend amount</t>
  </si>
  <si>
    <t>Use Edit in List Transaction to change from 69.92 to 69.62</t>
  </si>
  <si>
    <t>Posting hadn't been made</t>
  </si>
  <si>
    <t>From Sunday School Fund to Sunday Fun - to close Sunday Fun</t>
  </si>
  <si>
    <t>From General Fund to Flower Fund</t>
  </si>
  <si>
    <t>From SNL to General Fund</t>
  </si>
  <si>
    <t>From General Fund to Youth Fund</t>
  </si>
  <si>
    <t>None</t>
  </si>
  <si>
    <t>Change the account from 6699 to 0193 and the fund from None to SFS</t>
  </si>
  <si>
    <t>Use the Journal Entry transaction</t>
  </si>
  <si>
    <t>Use the Journal Entry transaction
Also code all future entries to 0103 to the Youth Fund</t>
  </si>
  <si>
    <t>Date entered</t>
  </si>
  <si>
    <t>Correct date</t>
  </si>
  <si>
    <t>FLOWER FUND: INCOME</t>
  </si>
  <si>
    <t>Donations for ABA</t>
  </si>
  <si>
    <t>0210; 0450; 0900</t>
  </si>
  <si>
    <t>FLOWER FUND: EXPENDITURE</t>
  </si>
  <si>
    <t>Repayment of Next Level Loans</t>
  </si>
  <si>
    <t>FABRIC FUND: INCOME</t>
  </si>
  <si>
    <t>SUPPORT FOR SERVICE FUND: INCOME</t>
  </si>
  <si>
    <t>SUPPORT FOR SERVICE FUND: EXPENDITURE</t>
  </si>
  <si>
    <t>SUNDAY SCHOOL FUND: INCOME</t>
  </si>
  <si>
    <t>SUNDAY SCHOOL FUND: EXPENDITURE</t>
  </si>
  <si>
    <t>REITH MEMORIAL FUND: EXPENDITURE</t>
  </si>
  <si>
    <t>GUILD FUND: INCOME</t>
  </si>
  <si>
    <t>GUILD FUND: EXPENDITURE</t>
  </si>
  <si>
    <t>FRIDAY COFFEES: INCOME</t>
  </si>
  <si>
    <t>FRIDAY COFFEES: EXPENDITURE</t>
  </si>
  <si>
    <t>ORGAN FUND: INCOME</t>
  </si>
  <si>
    <t>RESTRICTED</t>
  </si>
  <si>
    <t>ORGAN FUND: EXPENDITURE</t>
  </si>
  <si>
    <t>BENEVOLENT FUND: INCOME</t>
  </si>
  <si>
    <t>BENEVOLENT FUND: EXPENDITURE</t>
  </si>
  <si>
    <t>JUNIOR CHURCH: EXPENDITURE</t>
  </si>
  <si>
    <t>Cashflow Statement</t>
  </si>
  <si>
    <t>Opening</t>
  </si>
  <si>
    <t>5001: Clydesdale Current Account</t>
  </si>
  <si>
    <t>5003: Clydesdale Local Ministry</t>
  </si>
  <si>
    <t>5006: Clydesdale ABA Account</t>
  </si>
  <si>
    <t>Closing</t>
  </si>
  <si>
    <t>Other Investments</t>
  </si>
  <si>
    <t>CofS Deposit Fund</t>
  </si>
  <si>
    <t>United Trust Bank Fixed Deposit</t>
  </si>
  <si>
    <t>Skipton Building Society</t>
  </si>
  <si>
    <t>Virgin Money</t>
  </si>
  <si>
    <t>Petty Cash</t>
  </si>
  <si>
    <t>Noah's 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</si>
</sst>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quot;£&quot;#,##0;[Red]\-&quot;£&quot;#,##0"/>
    <numFmt numFmtId="165" formatCode="&quot;£&quot;#,##0.00;[Red]\-&quot;£&quot;#,##0.00"/>
    <numFmt numFmtId="166" formatCode="#,##0.00_ ;[Red]\-#,##0.00\ "/>
    <numFmt numFmtId="167" formatCode="0.0%"/>
    <numFmt numFmtId="168" formatCode="#,##0_ ;[Red]\-#,##0\ "/>
    <numFmt numFmtId="169" formatCode="[$-809]dd\ mmmm\ yyyy;@"/>
    <numFmt numFmtId="170" formatCode="[$-F800]dddd\,\ mmmm\ dd\,\ yyyy"/>
  </numFmts>
  <fonts count="25">
    <font>
      <sz val="11"/>
      <color theme="1"/>
      <name val="Calibri"/>
      <family val="2"/>
      <scheme val="minor"/>
    </font>
    <font>
      <b/>
      <sz val="11"/>
      <color theme="1"/>
      <name val="Calibri"/>
      <family val="2"/>
      <scheme val="minor"/>
    </font>
    <font>
      <b/>
      <u/>
      <sz val="11"/>
      <color indexed="8"/>
      <name val="Calibri"/>
      <family val="2"/>
    </font>
    <font>
      <u/>
      <sz val="11"/>
      <color indexed="8"/>
      <name val="Calibri"/>
      <family val="2"/>
    </font>
    <font>
      <b/>
      <sz val="11"/>
      <color indexed="8"/>
      <name val="Calibri"/>
      <family val="2"/>
    </font>
    <font>
      <sz val="11"/>
      <color indexed="8"/>
      <name val="Calibri"/>
      <family val="2"/>
    </font>
    <font>
      <sz val="10"/>
      <name val="Arial"/>
      <family val="2"/>
    </font>
    <font>
      <u/>
      <sz val="11"/>
      <color theme="1"/>
      <name val="Calibri"/>
      <family val="2"/>
      <scheme val="minor"/>
    </font>
    <font>
      <sz val="11"/>
      <color theme="1"/>
      <name val="Calibri"/>
      <family val="2"/>
      <scheme val="minor"/>
    </font>
    <font>
      <i/>
      <sz val="11"/>
      <color theme="1"/>
      <name val="Calibri"/>
      <family val="2"/>
      <scheme val="minor"/>
    </font>
    <font>
      <b/>
      <u/>
      <sz val="11"/>
      <color theme="1"/>
      <name val="Calibri"/>
      <family val="2"/>
      <scheme val="minor"/>
    </font>
    <font>
      <b/>
      <i/>
      <sz val="11"/>
      <color theme="1"/>
      <name val="Calibri"/>
      <family val="2"/>
      <scheme val="minor"/>
    </font>
    <font>
      <sz val="11"/>
      <color indexed="8"/>
      <name val="Calibri"/>
      <family val="2"/>
      <scheme val="minor"/>
    </font>
    <font>
      <b/>
      <sz val="11"/>
      <color rgb="FFFF0000"/>
      <name val="Calibri"/>
      <family val="2"/>
    </font>
    <font>
      <i/>
      <u/>
      <sz val="11"/>
      <color theme="1"/>
      <name val="Calibri"/>
      <family val="2"/>
      <scheme val="minor"/>
    </font>
    <font>
      <b/>
      <i/>
      <sz val="8"/>
      <color theme="1"/>
      <name val="Calibri"/>
      <family val="2"/>
      <scheme val="minor"/>
    </font>
    <font>
      <sz val="9"/>
      <color indexed="81"/>
      <name val="Tahoma"/>
      <family val="2"/>
    </font>
    <font>
      <b/>
      <sz val="9"/>
      <color indexed="81"/>
      <name val="Tahoma"/>
      <family val="2"/>
    </font>
    <font>
      <b/>
      <i/>
      <u/>
      <sz val="11"/>
      <color theme="1"/>
      <name val="Calibri"/>
      <family val="2"/>
      <scheme val="minor"/>
    </font>
    <font>
      <sz val="11"/>
      <name val="Calibri"/>
      <family val="2"/>
      <scheme val="minor"/>
    </font>
    <font>
      <b/>
      <sz val="11"/>
      <name val="Calibri"/>
      <family val="2"/>
      <scheme val="minor"/>
    </font>
    <font>
      <strike/>
      <sz val="11"/>
      <color theme="1"/>
      <name val="Calibri"/>
      <family val="2"/>
      <scheme val="minor"/>
    </font>
    <font>
      <sz val="12"/>
      <color indexed="8"/>
      <name val="Arial"/>
      <family val="2"/>
    </font>
    <font>
      <sz val="12"/>
      <color theme="1"/>
      <name val="Arial"/>
      <family val="2"/>
    </font>
    <font>
      <sz val="10"/>
      <color theme="1"/>
      <name val="Arial"/>
      <family val="2"/>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23">
    <border>
      <left/>
      <right/>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0" fontId="6" fillId="0" borderId="0"/>
    <xf numFmtId="9" fontId="8" fillId="0" borderId="0" applyFont="0" applyFill="0" applyBorder="0" applyAlignment="0" applyProtection="0"/>
  </cellStyleXfs>
  <cellXfs count="219">
    <xf numFmtId="0" fontId="0" fillId="0" borderId="0" xfId="0"/>
    <xf numFmtId="0" fontId="2" fillId="0" borderId="0" xfId="0" applyFont="1"/>
    <xf numFmtId="49" fontId="2" fillId="0" borderId="0" xfId="0" applyNumberFormat="1" applyFont="1"/>
    <xf numFmtId="165" fontId="3" fillId="0" borderId="0" xfId="0" applyNumberFormat="1" applyFont="1"/>
    <xf numFmtId="165" fontId="0" fillId="0" borderId="0" xfId="0" applyNumberFormat="1"/>
    <xf numFmtId="49" fontId="0" fillId="0" borderId="0" xfId="0" applyNumberFormat="1"/>
    <xf numFmtId="49" fontId="4" fillId="0" borderId="0" xfId="0" applyNumberFormat="1" applyFont="1" applyAlignment="1">
      <alignment horizontal="center"/>
    </xf>
    <xf numFmtId="0" fontId="4" fillId="0" borderId="0" xfId="0" applyFont="1"/>
    <xf numFmtId="49" fontId="4" fillId="0" borderId="0" xfId="0" applyNumberFormat="1" applyFont="1"/>
    <xf numFmtId="49" fontId="5" fillId="0" borderId="0" xfId="0" applyNumberFormat="1" applyFont="1"/>
    <xf numFmtId="166" fontId="0" fillId="0" borderId="0" xfId="0" applyNumberFormat="1"/>
    <xf numFmtId="166" fontId="1" fillId="0" borderId="2" xfId="0" applyNumberFormat="1" applyFont="1" applyBorder="1"/>
    <xf numFmtId="0" fontId="4" fillId="0" borderId="0" xfId="0" applyFont="1" applyAlignment="1">
      <alignment horizontal="center"/>
    </xf>
    <xf numFmtId="164" fontId="0" fillId="0" borderId="0" xfId="0" applyNumberFormat="1"/>
    <xf numFmtId="164" fontId="1" fillId="0" borderId="0" xfId="0" applyNumberFormat="1" applyFont="1" applyAlignment="1">
      <alignment horizontal="center"/>
    </xf>
    <xf numFmtId="0" fontId="0" fillId="0" borderId="0" xfId="0" applyAlignment="1">
      <alignment horizontal="right"/>
    </xf>
    <xf numFmtId="0" fontId="1" fillId="0" borderId="0" xfId="0" applyFont="1" applyAlignment="1">
      <alignment horizontal="left"/>
    </xf>
    <xf numFmtId="49" fontId="0" fillId="0" borderId="0" xfId="0" quotePrefix="1" applyNumberFormat="1"/>
    <xf numFmtId="0" fontId="5" fillId="0" borderId="0" xfId="0" applyFont="1" applyAlignment="1">
      <alignment horizontal="right"/>
    </xf>
    <xf numFmtId="0" fontId="9" fillId="0" borderId="0" xfId="0" applyFont="1"/>
    <xf numFmtId="0" fontId="9" fillId="0" borderId="3" xfId="0" applyFont="1" applyBorder="1" applyAlignment="1">
      <alignment horizontal="right"/>
    </xf>
    <xf numFmtId="49" fontId="9" fillId="0" borderId="4" xfId="0" applyNumberFormat="1" applyFont="1" applyBorder="1"/>
    <xf numFmtId="0" fontId="9" fillId="0" borderId="6" xfId="0" applyFont="1" applyBorder="1" applyAlignment="1">
      <alignment horizontal="right"/>
    </xf>
    <xf numFmtId="49" fontId="9" fillId="0" borderId="7" xfId="0" applyNumberFormat="1" applyFont="1" applyBorder="1"/>
    <xf numFmtId="0" fontId="9" fillId="0" borderId="10" xfId="0" applyFont="1" applyBorder="1" applyAlignment="1">
      <alignment horizontal="right"/>
    </xf>
    <xf numFmtId="49" fontId="9" fillId="0" borderId="0" xfId="0" applyNumberFormat="1" applyFont="1"/>
    <xf numFmtId="164" fontId="4" fillId="0" borderId="1" xfId="0" applyNumberFormat="1" applyFont="1" applyBorder="1"/>
    <xf numFmtId="164" fontId="1" fillId="0" borderId="1" xfId="0" applyNumberFormat="1" applyFont="1" applyBorder="1"/>
    <xf numFmtId="164" fontId="1" fillId="0" borderId="2" xfId="0" applyNumberFormat="1" applyFont="1" applyBorder="1"/>
    <xf numFmtId="164" fontId="4" fillId="0" borderId="2" xfId="0" applyNumberFormat="1" applyFont="1" applyBorder="1"/>
    <xf numFmtId="164" fontId="4" fillId="0" borderId="0" xfId="0" applyNumberFormat="1" applyFont="1"/>
    <xf numFmtId="164" fontId="4" fillId="0" borderId="0" xfId="0" applyNumberFormat="1" applyFont="1" applyAlignment="1">
      <alignment horizontal="center"/>
    </xf>
    <xf numFmtId="164" fontId="9" fillId="0" borderId="4" xfId="0" applyNumberFormat="1" applyFont="1" applyBorder="1"/>
    <xf numFmtId="164" fontId="9" fillId="0" borderId="5" xfId="0" applyNumberFormat="1" applyFont="1" applyBorder="1"/>
    <xf numFmtId="164" fontId="9" fillId="0" borderId="7" xfId="0" applyNumberFormat="1" applyFont="1" applyBorder="1"/>
    <xf numFmtId="164" fontId="9" fillId="0" borderId="8" xfId="0" applyNumberFormat="1" applyFont="1" applyBorder="1"/>
    <xf numFmtId="164" fontId="9" fillId="0" borderId="0" xfId="0" applyNumberFormat="1" applyFont="1"/>
    <xf numFmtId="164" fontId="9" fillId="0" borderId="9" xfId="0" applyNumberFormat="1" applyFont="1" applyBorder="1"/>
    <xf numFmtId="0" fontId="9" fillId="0" borderId="0" xfId="0" applyFont="1" applyAlignment="1">
      <alignment horizontal="right"/>
    </xf>
    <xf numFmtId="0" fontId="1" fillId="0" borderId="0" xfId="0" applyFont="1"/>
    <xf numFmtId="0" fontId="10" fillId="0" borderId="0" xfId="0" applyFont="1" applyAlignment="1">
      <alignment horizontal="left"/>
    </xf>
    <xf numFmtId="0" fontId="11" fillId="0" borderId="0" xfId="0" applyFont="1"/>
    <xf numFmtId="164" fontId="11" fillId="0" borderId="2" xfId="0" applyNumberFormat="1" applyFont="1" applyBorder="1"/>
    <xf numFmtId="166" fontId="1" fillId="0" borderId="0" xfId="0" applyNumberFormat="1" applyFont="1" applyAlignment="1">
      <alignment horizontal="center"/>
    </xf>
    <xf numFmtId="0" fontId="2" fillId="0" borderId="0" xfId="0" applyFont="1" applyAlignment="1">
      <alignment vertical="top"/>
    </xf>
    <xf numFmtId="49" fontId="2" fillId="0" borderId="0" xfId="0" applyNumberFormat="1" applyFont="1" applyAlignment="1">
      <alignment vertical="top"/>
    </xf>
    <xf numFmtId="165" fontId="3" fillId="0" borderId="0" xfId="0" applyNumberFormat="1" applyFont="1" applyAlignment="1">
      <alignment vertical="top"/>
    </xf>
    <xf numFmtId="165" fontId="0" fillId="0" borderId="0" xfId="0" applyNumberFormat="1" applyAlignment="1">
      <alignment vertical="top"/>
    </xf>
    <xf numFmtId="0" fontId="0" fillId="0" borderId="0" xfId="0" applyAlignment="1">
      <alignment vertical="top"/>
    </xf>
    <xf numFmtId="49" fontId="0" fillId="0" borderId="0" xfId="0" applyNumberFormat="1" applyAlignment="1">
      <alignment vertical="top"/>
    </xf>
    <xf numFmtId="0" fontId="4" fillId="0" borderId="0" xfId="0" applyFont="1" applyAlignment="1">
      <alignment vertical="top"/>
    </xf>
    <xf numFmtId="0" fontId="4" fillId="0" borderId="0" xfId="0" applyFont="1" applyAlignment="1">
      <alignment horizontal="center" vertical="top"/>
    </xf>
    <xf numFmtId="49" fontId="4" fillId="0" borderId="0" xfId="0" applyNumberFormat="1" applyFont="1" applyAlignment="1">
      <alignment horizontal="center" vertical="top"/>
    </xf>
    <xf numFmtId="0" fontId="0" fillId="0" borderId="0" xfId="0" applyAlignment="1">
      <alignment horizontal="right" vertical="top"/>
    </xf>
    <xf numFmtId="164" fontId="0" fillId="0" borderId="0" xfId="0" applyNumberFormat="1" applyAlignment="1">
      <alignment vertical="top"/>
    </xf>
    <xf numFmtId="49" fontId="4" fillId="0" borderId="0" xfId="0" applyNumberFormat="1" applyFont="1" applyAlignment="1">
      <alignment vertical="top"/>
    </xf>
    <xf numFmtId="164" fontId="4" fillId="0" borderId="1" xfId="0" applyNumberFormat="1" applyFont="1" applyBorder="1" applyAlignment="1">
      <alignment vertical="top"/>
    </xf>
    <xf numFmtId="164" fontId="1" fillId="0" borderId="1" xfId="0" applyNumberFormat="1" applyFont="1" applyBorder="1" applyAlignment="1">
      <alignment vertical="top"/>
    </xf>
    <xf numFmtId="0" fontId="1" fillId="0" borderId="0" xfId="0" applyFont="1" applyAlignment="1">
      <alignment vertical="top"/>
    </xf>
    <xf numFmtId="49" fontId="0" fillId="0" borderId="0" xfId="0" quotePrefix="1" applyNumberFormat="1" applyAlignment="1">
      <alignment vertical="top"/>
    </xf>
    <xf numFmtId="0" fontId="1" fillId="0" borderId="0" xfId="0" applyFont="1" applyAlignment="1">
      <alignment horizontal="left" vertical="top"/>
    </xf>
    <xf numFmtId="0" fontId="10" fillId="0" borderId="0" xfId="0" applyFont="1" applyAlignment="1">
      <alignment horizontal="left" vertical="top"/>
    </xf>
    <xf numFmtId="164" fontId="1" fillId="0" borderId="2" xfId="0" applyNumberFormat="1" applyFont="1" applyBorder="1" applyAlignment="1">
      <alignment vertical="top"/>
    </xf>
    <xf numFmtId="49" fontId="0" fillId="0" borderId="0" xfId="0" quotePrefix="1" applyNumberFormat="1" applyAlignment="1">
      <alignment vertical="top" wrapText="1"/>
    </xf>
    <xf numFmtId="164" fontId="4" fillId="0" borderId="2" xfId="0" applyNumberFormat="1" applyFont="1" applyBorder="1" applyAlignment="1">
      <alignment vertical="top"/>
    </xf>
    <xf numFmtId="0" fontId="11" fillId="0" borderId="0" xfId="0" applyFont="1" applyAlignment="1">
      <alignment vertical="top"/>
    </xf>
    <xf numFmtId="49" fontId="11" fillId="0" borderId="0" xfId="0" applyNumberFormat="1" applyFont="1" applyAlignment="1">
      <alignment vertical="top"/>
    </xf>
    <xf numFmtId="164" fontId="11" fillId="0" borderId="2" xfId="0" applyNumberFormat="1" applyFont="1" applyBorder="1" applyAlignment="1">
      <alignment vertical="top"/>
    </xf>
    <xf numFmtId="0" fontId="1" fillId="0" borderId="0" xfId="0" applyFont="1" applyAlignment="1">
      <alignment horizontal="center"/>
    </xf>
    <xf numFmtId="0" fontId="0" fillId="0" borderId="0" xfId="0" applyAlignment="1">
      <alignment horizontal="left"/>
    </xf>
    <xf numFmtId="0" fontId="10" fillId="0" borderId="0" xfId="0" applyFont="1"/>
    <xf numFmtId="165" fontId="0" fillId="0" borderId="1" xfId="0" applyNumberFormat="1" applyBorder="1"/>
    <xf numFmtId="165" fontId="1" fillId="0" borderId="0" xfId="0" applyNumberFormat="1" applyFont="1" applyAlignment="1">
      <alignment horizontal="center"/>
    </xf>
    <xf numFmtId="165" fontId="1" fillId="0" borderId="2" xfId="0" applyNumberFormat="1" applyFont="1" applyBorder="1"/>
    <xf numFmtId="165" fontId="9" fillId="0" borderId="4" xfId="0" applyNumberFormat="1" applyFont="1" applyBorder="1"/>
    <xf numFmtId="165" fontId="9" fillId="0" borderId="0" xfId="0" applyNumberFormat="1" applyFont="1"/>
    <xf numFmtId="165" fontId="9" fillId="0" borderId="7" xfId="0" applyNumberFormat="1" applyFont="1" applyBorder="1"/>
    <xf numFmtId="49" fontId="11" fillId="0" borderId="0" xfId="0" applyNumberFormat="1" applyFont="1"/>
    <xf numFmtId="0" fontId="0" fillId="0" borderId="0" xfId="0" applyAlignment="1">
      <alignment horizontal="center"/>
    </xf>
    <xf numFmtId="0" fontId="12" fillId="0" borderId="0" xfId="0" applyFont="1" applyAlignment="1">
      <alignment horizontal="right"/>
    </xf>
    <xf numFmtId="0" fontId="13" fillId="0" borderId="0" xfId="0" applyFont="1"/>
    <xf numFmtId="0" fontId="13" fillId="0" borderId="0" xfId="0" applyFont="1" applyAlignment="1">
      <alignment vertical="top"/>
    </xf>
    <xf numFmtId="168" fontId="0" fillId="0" borderId="0" xfId="0" applyNumberFormat="1"/>
    <xf numFmtId="0" fontId="7" fillId="0" borderId="0" xfId="0" applyFont="1" applyAlignment="1">
      <alignment horizontal="left"/>
    </xf>
    <xf numFmtId="164" fontId="4" fillId="0" borderId="0" xfId="0" applyNumberFormat="1" applyFont="1" applyAlignment="1">
      <alignment vertical="top"/>
    </xf>
    <xf numFmtId="49" fontId="5" fillId="0" borderId="0" xfId="0" quotePrefix="1" applyNumberFormat="1" applyFont="1" applyAlignment="1">
      <alignment vertical="top"/>
    </xf>
    <xf numFmtId="164" fontId="5" fillId="0" borderId="0" xfId="0" applyNumberFormat="1" applyFont="1" applyAlignment="1">
      <alignment vertical="top"/>
    </xf>
    <xf numFmtId="166" fontId="0" fillId="0" borderId="2" xfId="0" applyNumberFormat="1" applyBorder="1"/>
    <xf numFmtId="166" fontId="0" fillId="0" borderId="4" xfId="0" applyNumberFormat="1" applyBorder="1"/>
    <xf numFmtId="0" fontId="0" fillId="0" borderId="0" xfId="0" quotePrefix="1"/>
    <xf numFmtId="0" fontId="7" fillId="0" borderId="0" xfId="0" applyFont="1" applyAlignment="1">
      <alignment horizontal="center"/>
    </xf>
    <xf numFmtId="168" fontId="7" fillId="0" borderId="15" xfId="0" applyNumberFormat="1" applyFont="1" applyBorder="1" applyAlignment="1">
      <alignment horizontal="center"/>
    </xf>
    <xf numFmtId="0" fontId="7" fillId="0" borderId="16" xfId="0" applyFont="1" applyBorder="1" applyAlignment="1">
      <alignment horizontal="center"/>
    </xf>
    <xf numFmtId="166" fontId="0" fillId="0" borderId="15" xfId="0" applyNumberFormat="1" applyBorder="1"/>
    <xf numFmtId="166" fontId="0" fillId="0" borderId="16" xfId="0" applyNumberFormat="1" applyBorder="1"/>
    <xf numFmtId="166" fontId="0" fillId="0" borderId="17" xfId="0" applyNumberFormat="1" applyBorder="1"/>
    <xf numFmtId="166" fontId="0" fillId="0" borderId="18" xfId="0" applyNumberFormat="1" applyBorder="1"/>
    <xf numFmtId="166" fontId="0" fillId="0" borderId="19" xfId="0" applyNumberFormat="1" applyBorder="1"/>
    <xf numFmtId="166" fontId="0" fillId="0" borderId="20" xfId="0" applyNumberFormat="1" applyBorder="1"/>
    <xf numFmtId="166" fontId="0" fillId="0" borderId="21" xfId="0" applyNumberFormat="1" applyBorder="1"/>
    <xf numFmtId="166" fontId="0" fillId="0" borderId="22" xfId="0" applyNumberFormat="1" applyBorder="1"/>
    <xf numFmtId="165" fontId="11" fillId="0" borderId="2" xfId="0" applyNumberFormat="1" applyFont="1" applyBorder="1" applyAlignment="1">
      <alignment vertical="top"/>
    </xf>
    <xf numFmtId="14" fontId="0" fillId="0" borderId="0" xfId="0" applyNumberFormat="1"/>
    <xf numFmtId="166" fontId="18" fillId="0" borderId="0" xfId="0" applyNumberFormat="1" applyFont="1" applyAlignment="1">
      <alignment horizontal="center"/>
    </xf>
    <xf numFmtId="166" fontId="1" fillId="0" borderId="0" xfId="0" applyNumberFormat="1" applyFont="1"/>
    <xf numFmtId="166" fontId="1" fillId="0" borderId="1" xfId="0" applyNumberFormat="1" applyFont="1" applyBorder="1"/>
    <xf numFmtId="0" fontId="1" fillId="0" borderId="2" xfId="0" applyFont="1" applyBorder="1"/>
    <xf numFmtId="0" fontId="19" fillId="3" borderId="0" xfId="0" applyFont="1" applyFill="1"/>
    <xf numFmtId="166" fontId="19" fillId="3" borderId="0" xfId="0" applyNumberFormat="1" applyFont="1" applyFill="1"/>
    <xf numFmtId="0" fontId="19" fillId="3" borderId="0" xfId="0" quotePrefix="1" applyFont="1" applyFill="1"/>
    <xf numFmtId="0" fontId="19" fillId="2" borderId="0" xfId="0" applyFont="1" applyFill="1"/>
    <xf numFmtId="0" fontId="20" fillId="3" borderId="4" xfId="0" applyFont="1" applyFill="1" applyBorder="1"/>
    <xf numFmtId="166" fontId="20" fillId="3" borderId="4" xfId="0" applyNumberFormat="1" applyFont="1" applyFill="1" applyBorder="1"/>
    <xf numFmtId="166" fontId="19" fillId="0" borderId="0" xfId="0" applyNumberFormat="1" applyFont="1"/>
    <xf numFmtId="0" fontId="19" fillId="0" borderId="0" xfId="0" applyFont="1"/>
    <xf numFmtId="166" fontId="20" fillId="0" borderId="4" xfId="0" applyNumberFormat="1" applyFont="1" applyBorder="1"/>
    <xf numFmtId="0" fontId="0" fillId="0" borderId="11" xfId="0" applyBorder="1" applyAlignment="1">
      <alignment horizontal="center"/>
    </xf>
    <xf numFmtId="0" fontId="5" fillId="0" borderId="0" xfId="0" applyFont="1"/>
    <xf numFmtId="164" fontId="5" fillId="0" borderId="0" xfId="0" applyNumberFormat="1" applyFont="1"/>
    <xf numFmtId="165" fontId="5" fillId="0" borderId="0" xfId="0" applyNumberFormat="1" applyFont="1"/>
    <xf numFmtId="165" fontId="4" fillId="0" borderId="0" xfId="0" applyNumberFormat="1" applyFont="1" applyAlignment="1">
      <alignment horizontal="center"/>
    </xf>
    <xf numFmtId="0" fontId="5" fillId="0" borderId="0" xfId="0" applyFont="1" applyAlignment="1">
      <alignment horizontal="center"/>
    </xf>
    <xf numFmtId="164" fontId="5" fillId="0" borderId="0" xfId="0" applyNumberFormat="1" applyFont="1" applyAlignment="1">
      <alignment horizontal="center"/>
    </xf>
    <xf numFmtId="165" fontId="5" fillId="0" borderId="0" xfId="0" applyNumberFormat="1" applyFont="1" applyAlignment="1">
      <alignment horizontal="center"/>
    </xf>
    <xf numFmtId="167" fontId="0" fillId="0" borderId="0" xfId="2" applyNumberFormat="1" applyFont="1" applyAlignment="1">
      <alignment horizontal="center"/>
    </xf>
    <xf numFmtId="164" fontId="0" fillId="0" borderId="2" xfId="0" applyNumberFormat="1" applyBorder="1"/>
    <xf numFmtId="167" fontId="1" fillId="0" borderId="2" xfId="2" applyNumberFormat="1" applyFont="1" applyBorder="1" applyAlignment="1">
      <alignment horizontal="center"/>
    </xf>
    <xf numFmtId="164" fontId="9" fillId="0" borderId="3" xfId="0" applyNumberFormat="1" applyFont="1" applyBorder="1"/>
    <xf numFmtId="167" fontId="9" fillId="0" borderId="5" xfId="2" applyNumberFormat="1" applyFont="1" applyBorder="1" applyAlignment="1">
      <alignment horizontal="center"/>
    </xf>
    <xf numFmtId="164" fontId="9" fillId="0" borderId="6" xfId="0" applyNumberFormat="1" applyFont="1" applyBorder="1"/>
    <xf numFmtId="167" fontId="9" fillId="0" borderId="8" xfId="2" applyNumberFormat="1" applyFont="1" applyBorder="1" applyAlignment="1">
      <alignment horizontal="center"/>
    </xf>
    <xf numFmtId="164" fontId="9" fillId="0" borderId="10" xfId="0" applyNumberFormat="1" applyFont="1" applyBorder="1"/>
    <xf numFmtId="167" fontId="9" fillId="0" borderId="9" xfId="2" applyNumberFormat="1" applyFont="1" applyBorder="1" applyAlignment="1">
      <alignment horizontal="center"/>
    </xf>
    <xf numFmtId="164" fontId="11" fillId="0" borderId="0" xfId="0" applyNumberFormat="1" applyFont="1"/>
    <xf numFmtId="167" fontId="8" fillId="0" borderId="0" xfId="2" applyNumberFormat="1" applyAlignment="1">
      <alignment horizontal="center"/>
    </xf>
    <xf numFmtId="167" fontId="1" fillId="0" borderId="1" xfId="2" applyNumberFormat="1" applyFont="1" applyBorder="1" applyAlignment="1">
      <alignment horizontal="center"/>
    </xf>
    <xf numFmtId="165" fontId="4" fillId="0" borderId="0" xfId="0" applyNumberFormat="1" applyFont="1"/>
    <xf numFmtId="167" fontId="1" fillId="0" borderId="0" xfId="2" applyNumberFormat="1" applyFont="1" applyAlignment="1">
      <alignment horizontal="center"/>
    </xf>
    <xf numFmtId="167" fontId="11" fillId="0" borderId="2" xfId="2" applyNumberFormat="1" applyFont="1" applyBorder="1" applyAlignment="1">
      <alignment horizontal="center"/>
    </xf>
    <xf numFmtId="164" fontId="15" fillId="0" borderId="0" xfId="0" applyNumberFormat="1" applyFont="1"/>
    <xf numFmtId="0" fontId="0" fillId="0" borderId="21" xfId="0" applyBorder="1"/>
    <xf numFmtId="49" fontId="3" fillId="0" borderId="0" xfId="0" applyNumberFormat="1" applyFont="1" applyAlignment="1">
      <alignment horizontal="right"/>
    </xf>
    <xf numFmtId="0" fontId="10" fillId="0" borderId="0" xfId="0" applyFont="1" applyAlignment="1">
      <alignment vertical="top"/>
    </xf>
    <xf numFmtId="0" fontId="0" fillId="0" borderId="0" xfId="0" applyAlignment="1">
      <alignment horizontal="center" vertical="top"/>
    </xf>
    <xf numFmtId="166" fontId="0" fillId="0" borderId="0" xfId="0" applyNumberFormat="1" applyAlignment="1">
      <alignment horizontal="center" vertical="top"/>
    </xf>
    <xf numFmtId="166" fontId="0" fillId="0" borderId="0" xfId="0" applyNumberFormat="1" applyAlignment="1">
      <alignment vertical="top"/>
    </xf>
    <xf numFmtId="0" fontId="7" fillId="0" borderId="0" xfId="0" applyFont="1" applyAlignment="1">
      <alignment horizontal="center" vertical="top"/>
    </xf>
    <xf numFmtId="166" fontId="7" fillId="0" borderId="0" xfId="0" applyNumberFormat="1" applyFont="1" applyAlignment="1">
      <alignment horizontal="center" vertical="top"/>
    </xf>
    <xf numFmtId="0" fontId="7" fillId="0" borderId="0" xfId="0" applyFont="1" applyAlignment="1">
      <alignment vertical="top"/>
    </xf>
    <xf numFmtId="9" fontId="0" fillId="0" borderId="0" xfId="0" applyNumberFormat="1" applyAlignment="1">
      <alignment horizontal="center" vertical="top"/>
    </xf>
    <xf numFmtId="10" fontId="0" fillId="0" borderId="0" xfId="2" applyNumberFormat="1" applyFont="1" applyAlignment="1">
      <alignment horizontal="center" vertical="top"/>
    </xf>
    <xf numFmtId="17" fontId="0" fillId="0" borderId="0" xfId="0" applyNumberFormat="1" applyAlignment="1">
      <alignment horizontal="left" vertical="top"/>
    </xf>
    <xf numFmtId="167" fontId="0" fillId="0" borderId="0" xfId="2" applyNumberFormat="1" applyFont="1" applyAlignment="1">
      <alignment horizontal="center" vertical="top"/>
    </xf>
    <xf numFmtId="0" fontId="0" fillId="0" borderId="0" xfId="0" applyAlignment="1">
      <alignment vertical="top" wrapText="1"/>
    </xf>
    <xf numFmtId="167" fontId="0" fillId="0" borderId="0" xfId="0" applyNumberFormat="1" applyAlignment="1">
      <alignment horizontal="center" vertical="top"/>
    </xf>
    <xf numFmtId="10" fontId="0" fillId="0" borderId="0" xfId="0" applyNumberFormat="1" applyAlignment="1">
      <alignment horizontal="center" vertical="top"/>
    </xf>
    <xf numFmtId="166" fontId="1" fillId="0" borderId="2" xfId="0" applyNumberFormat="1" applyFont="1" applyBorder="1" applyAlignment="1">
      <alignment vertical="top"/>
    </xf>
    <xf numFmtId="166" fontId="1" fillId="0" borderId="0" xfId="0" applyNumberFormat="1" applyFont="1" applyAlignment="1">
      <alignment vertical="top"/>
    </xf>
    <xf numFmtId="166" fontId="7" fillId="0" borderId="0" xfId="0" applyNumberFormat="1" applyFont="1" applyAlignment="1">
      <alignment vertical="top"/>
    </xf>
    <xf numFmtId="166" fontId="9" fillId="0" borderId="0" xfId="0" applyNumberFormat="1" applyFont="1" applyAlignment="1">
      <alignment vertical="top"/>
    </xf>
    <xf numFmtId="166" fontId="9" fillId="0" borderId="0" xfId="0" applyNumberFormat="1" applyFont="1" applyAlignment="1">
      <alignment horizontal="center" vertical="top"/>
    </xf>
    <xf numFmtId="166" fontId="0" fillId="0" borderId="0" xfId="0" applyNumberFormat="1" applyAlignment="1">
      <alignment horizontal="left" vertical="top"/>
    </xf>
    <xf numFmtId="166" fontId="1" fillId="0" borderId="1" xfId="0" applyNumberFormat="1" applyFont="1" applyBorder="1" applyAlignment="1">
      <alignment horizontal="left" vertical="top"/>
    </xf>
    <xf numFmtId="166" fontId="1" fillId="0" borderId="1" xfId="0" applyNumberFormat="1" applyFont="1" applyBorder="1" applyAlignment="1">
      <alignment vertical="top"/>
    </xf>
    <xf numFmtId="166" fontId="0" fillId="0" borderId="2" xfId="0" applyNumberFormat="1" applyBorder="1" applyAlignment="1">
      <alignment vertical="top"/>
    </xf>
    <xf numFmtId="164" fontId="1" fillId="3" borderId="1" xfId="0" applyNumberFormat="1" applyFont="1" applyFill="1" applyBorder="1"/>
    <xf numFmtId="0" fontId="14" fillId="0" borderId="0" xfId="0" applyFont="1"/>
    <xf numFmtId="0" fontId="0" fillId="0" borderId="0" xfId="0" quotePrefix="1" applyAlignment="1">
      <alignment vertical="top"/>
    </xf>
    <xf numFmtId="0" fontId="0" fillId="0" borderId="0" xfId="0" applyAlignment="1">
      <alignment wrapText="1"/>
    </xf>
    <xf numFmtId="0" fontId="0" fillId="0" borderId="0" xfId="0" quotePrefix="1" applyAlignment="1">
      <alignment horizontal="right"/>
    </xf>
    <xf numFmtId="2" fontId="0" fillId="0" borderId="0" xfId="0" applyNumberFormat="1"/>
    <xf numFmtId="0" fontId="0" fillId="2" borderId="0" xfId="0" applyFill="1"/>
    <xf numFmtId="0" fontId="0" fillId="2" borderId="0" xfId="0" quotePrefix="1" applyFill="1" applyAlignment="1">
      <alignment horizontal="right"/>
    </xf>
    <xf numFmtId="166" fontId="0" fillId="2" borderId="0" xfId="0" applyNumberFormat="1" applyFill="1"/>
    <xf numFmtId="0" fontId="0" fillId="2" borderId="0" xfId="0" applyFill="1" applyAlignment="1">
      <alignment wrapText="1"/>
    </xf>
    <xf numFmtId="10" fontId="0" fillId="0" borderId="0" xfId="0" applyNumberFormat="1"/>
    <xf numFmtId="0" fontId="22" fillId="0" borderId="0" xfId="0" applyFont="1" applyAlignment="1">
      <alignment wrapText="1"/>
    </xf>
    <xf numFmtId="165" fontId="4" fillId="0" borderId="1" xfId="0" applyNumberFormat="1" applyFont="1" applyBorder="1" applyAlignment="1">
      <alignment vertical="top"/>
    </xf>
    <xf numFmtId="165" fontId="4" fillId="0" borderId="0" xfId="0" applyNumberFormat="1" applyFont="1" applyAlignment="1">
      <alignment vertical="top"/>
    </xf>
    <xf numFmtId="165" fontId="1" fillId="0" borderId="1" xfId="0" applyNumberFormat="1" applyFont="1" applyBorder="1" applyAlignment="1">
      <alignment vertical="top"/>
    </xf>
    <xf numFmtId="165" fontId="1" fillId="0" borderId="2" xfId="0" applyNumberFormat="1" applyFont="1" applyBorder="1" applyAlignment="1">
      <alignment vertical="top"/>
    </xf>
    <xf numFmtId="165" fontId="4" fillId="0" borderId="2" xfId="0" applyNumberFormat="1" applyFont="1" applyBorder="1" applyAlignment="1">
      <alignment vertical="top"/>
    </xf>
    <xf numFmtId="4" fontId="0" fillId="0" borderId="0" xfId="0" applyNumberFormat="1"/>
    <xf numFmtId="4" fontId="1" fillId="0" borderId="2" xfId="0" applyNumberFormat="1" applyFont="1" applyBorder="1"/>
    <xf numFmtId="4" fontId="9" fillId="0" borderId="0" xfId="0" applyNumberFormat="1" applyFont="1"/>
    <xf numFmtId="4" fontId="9" fillId="0" borderId="9" xfId="0" applyNumberFormat="1" applyFont="1" applyBorder="1"/>
    <xf numFmtId="4" fontId="9" fillId="0" borderId="5" xfId="0" applyNumberFormat="1" applyFont="1" applyBorder="1"/>
    <xf numFmtId="4" fontId="9" fillId="0" borderId="8" xfId="0" applyNumberFormat="1" applyFont="1" applyBorder="1"/>
    <xf numFmtId="165" fontId="9" fillId="0" borderId="5" xfId="0" applyNumberFormat="1" applyFont="1" applyBorder="1"/>
    <xf numFmtId="165" fontId="9" fillId="0" borderId="8" xfId="0" applyNumberFormat="1" applyFont="1" applyBorder="1"/>
    <xf numFmtId="167" fontId="0" fillId="0" borderId="0" xfId="2" applyNumberFormat="1" applyFont="1" applyFill="1" applyAlignment="1">
      <alignment horizontal="center"/>
    </xf>
    <xf numFmtId="167" fontId="1" fillId="0" borderId="2" xfId="2" applyNumberFormat="1" applyFont="1" applyFill="1" applyBorder="1" applyAlignment="1">
      <alignment horizontal="center"/>
    </xf>
    <xf numFmtId="167" fontId="9" fillId="0" borderId="5" xfId="2" applyNumberFormat="1" applyFont="1" applyFill="1" applyBorder="1" applyAlignment="1">
      <alignment horizontal="center"/>
    </xf>
    <xf numFmtId="167" fontId="9" fillId="0" borderId="8" xfId="2" applyNumberFormat="1" applyFont="1" applyFill="1" applyBorder="1" applyAlignment="1">
      <alignment horizontal="center"/>
    </xf>
    <xf numFmtId="167" fontId="9" fillId="0" borderId="9" xfId="2" applyNumberFormat="1" applyFont="1" applyFill="1" applyBorder="1" applyAlignment="1">
      <alignment horizontal="center"/>
    </xf>
    <xf numFmtId="164" fontId="0" fillId="0" borderId="7" xfId="0" applyNumberFormat="1" applyBorder="1"/>
    <xf numFmtId="169" fontId="2" fillId="0" borderId="0" xfId="0" quotePrefix="1" applyNumberFormat="1" applyFont="1" applyAlignment="1">
      <alignment horizontal="left"/>
    </xf>
    <xf numFmtId="169" fontId="2" fillId="0" borderId="0" xfId="0" applyNumberFormat="1" applyFont="1" applyAlignment="1">
      <alignment horizontal="left"/>
    </xf>
    <xf numFmtId="170" fontId="10" fillId="0" borderId="0" xfId="0" applyNumberFormat="1" applyFont="1" applyAlignment="1">
      <alignment horizontal="left"/>
    </xf>
    <xf numFmtId="166" fontId="0" fillId="0" borderId="13" xfId="0" applyNumberFormat="1" applyBorder="1"/>
    <xf numFmtId="166" fontId="0" fillId="0" borderId="14" xfId="0" applyNumberFormat="1" applyBorder="1"/>
    <xf numFmtId="0" fontId="2" fillId="0" borderId="0" xfId="0" applyFont="1" applyAlignment="1">
      <alignment wrapText="1"/>
    </xf>
    <xf numFmtId="15" fontId="2" fillId="0" borderId="0" xfId="0" applyNumberFormat="1" applyFont="1" applyAlignment="1">
      <alignment horizontal="left" wrapText="1"/>
    </xf>
    <xf numFmtId="0" fontId="21" fillId="0" borderId="0" xfId="0" applyFont="1" applyAlignment="1">
      <alignment wrapText="1"/>
    </xf>
    <xf numFmtId="0" fontId="23" fillId="0" borderId="0" xfId="0" applyFont="1" applyAlignment="1">
      <alignment wrapText="1"/>
    </xf>
    <xf numFmtId="3" fontId="0" fillId="0" borderId="0" xfId="0" applyNumberFormat="1" applyAlignment="1">
      <alignment vertical="top"/>
    </xf>
    <xf numFmtId="165" fontId="9" fillId="0" borderId="0" xfId="0" applyNumberFormat="1" applyFont="1" applyAlignment="1">
      <alignment vertical="top"/>
    </xf>
    <xf numFmtId="4" fontId="24" fillId="0" borderId="0" xfId="0" applyNumberFormat="1" applyFont="1" applyAlignment="1">
      <alignment wrapText="1"/>
    </xf>
    <xf numFmtId="0" fontId="24" fillId="0" borderId="0" xfId="0" applyFont="1" applyAlignment="1">
      <alignment wrapText="1"/>
    </xf>
    <xf numFmtId="0" fontId="7" fillId="0" borderId="12" xfId="0" applyFont="1" applyBorder="1" applyAlignment="1">
      <alignment horizontal="center"/>
    </xf>
    <xf numFmtId="0" fontId="7" fillId="0" borderId="13" xfId="0" applyFont="1" applyBorder="1" applyAlignment="1">
      <alignment horizontal="center"/>
    </xf>
    <xf numFmtId="0" fontId="7" fillId="0" borderId="14" xfId="0" applyFont="1" applyBorder="1" applyAlignment="1">
      <alignment horizontal="center"/>
    </xf>
    <xf numFmtId="168" fontId="7" fillId="0" borderId="12" xfId="0" applyNumberFormat="1" applyFont="1" applyBorder="1" applyAlignment="1">
      <alignment horizontal="center"/>
    </xf>
    <xf numFmtId="168" fontId="7" fillId="0" borderId="13" xfId="0" applyNumberFormat="1" applyFont="1" applyBorder="1" applyAlignment="1">
      <alignment horizontal="center"/>
    </xf>
    <xf numFmtId="168" fontId="7" fillId="0" borderId="14" xfId="0" applyNumberFormat="1" applyFont="1" applyBorder="1" applyAlignment="1">
      <alignment horizontal="center"/>
    </xf>
    <xf numFmtId="0" fontId="0" fillId="0" borderId="0" xfId="0" applyAlignment="1">
      <alignment horizontal="center"/>
    </xf>
    <xf numFmtId="0" fontId="7" fillId="0" borderId="0" xfId="0" applyFont="1" applyAlignment="1">
      <alignment horizontal="center" vertical="top"/>
    </xf>
    <xf numFmtId="0" fontId="0" fillId="0" borderId="0" xfId="0" applyAlignment="1">
      <alignment wrapText="1"/>
    </xf>
    <xf numFmtId="0" fontId="0" fillId="0" borderId="0" xfId="0" applyAlignment="1">
      <alignment horizontal="center" vertical="center" wrapText="1"/>
    </xf>
  </cellXfs>
  <cellStyles count="3">
    <cellStyle name="Normal" xfId="0" builtinId="0"/>
    <cellStyle name="Normal 2" xfId="1" xr:uid="{00000000-0005-0000-0000-000001000000}"/>
    <cellStyle name="Per 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mum_and_dad/dad/church/session/fff/finance/accounts/2025/BTW%20Church%20Accounts%20-%20December%202025%20-%20v1%20with%20adjustments.xlsx" TargetMode="External"/><Relationship Id="rId2" Type="http://schemas.openxmlformats.org/officeDocument/2006/relationships/externalLinkPath" Target="file:///C:\mum_and_dad\dad\church\session\fff\finance\accounts\2025\BTW%20Church%20Accounts%20-%20December%202025%20-%20v1%20with%20adjustments.xlsx" TargetMode="External"/><Relationship Id="rId1" Type="http://schemas.openxmlformats.org/officeDocument/2006/relationships/externalLinkPath" Target="/mum_and_dad/dad/church/session/fff/finance/accounts/2025/BTW%20Church%20Accounts%20-%20December%202025%20-%20v1%20with%20adjustment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Comments"/>
      <sheetName val="Income - Overall"/>
      <sheetName val="Expend - Overall"/>
      <sheetName val="Income - General"/>
      <sheetName val="Expend - General"/>
      <sheetName val="FundSummary"/>
      <sheetName val="ABA"/>
      <sheetName val="TB Check"/>
      <sheetName val="Income - Forecast"/>
      <sheetName val="Income - OverallBUD"/>
      <sheetName val="Expend - OverallBUD"/>
      <sheetName val="Income - OverallPY"/>
      <sheetName val="Expend - Forecast"/>
      <sheetName val="Expend - OverallPY"/>
      <sheetName val="People - Forecast"/>
      <sheetName val="Expend - Fabric"/>
      <sheetName val="adjustments"/>
      <sheetName val="Income - FlowerFund"/>
      <sheetName val="Expend - FlowerFund"/>
      <sheetName val="Income - Fabric"/>
      <sheetName val="Income - SfSFund"/>
      <sheetName val="Expend - SfSFund"/>
      <sheetName val="Income - SSchoolFund"/>
      <sheetName val="Expend - SSchoolFund"/>
      <sheetName val="Expend - ReithMemorial"/>
      <sheetName val="Income - Guild"/>
      <sheetName val="Expend - Guild"/>
      <sheetName val="Income - Friday"/>
      <sheetName val="Expend - Friday"/>
      <sheetName val="Income - Organ"/>
      <sheetName val="Expend - Organ"/>
      <sheetName val="Income - Benevolent"/>
      <sheetName val="Expend - Benevolent"/>
      <sheetName val="Expend - JrChurch"/>
      <sheetName val="Cashflow"/>
    </sheetNames>
    <sheetDataSet>
      <sheetData sheetId="0"/>
      <sheetData sheetId="1"/>
      <sheetData sheetId="2">
        <row r="62">
          <cell r="B62">
            <v>9816.14</v>
          </cell>
          <cell r="C62">
            <v>14885.02</v>
          </cell>
          <cell r="D62">
            <v>24699.760000000002</v>
          </cell>
          <cell r="E62">
            <v>15224.95</v>
          </cell>
          <cell r="F62">
            <v>19127.739999999998</v>
          </cell>
          <cell r="G62">
            <v>16438.89</v>
          </cell>
          <cell r="H62">
            <v>18254.36</v>
          </cell>
          <cell r="I62">
            <v>26662.720000000001</v>
          </cell>
          <cell r="J62">
            <v>19390.14</v>
          </cell>
          <cell r="K62">
            <v>16694.89</v>
          </cell>
          <cell r="L62">
            <v>17559.87</v>
          </cell>
          <cell r="M62">
            <v>6390.5499999999993</v>
          </cell>
          <cell r="N62">
            <v>205145.02999999997</v>
          </cell>
        </row>
      </sheetData>
      <sheetData sheetId="3">
        <row r="10">
          <cell r="C10">
            <v>5903.5</v>
          </cell>
          <cell r="D10">
            <v>5728.5</v>
          </cell>
          <cell r="E10">
            <v>5788.5</v>
          </cell>
          <cell r="F10">
            <v>7288</v>
          </cell>
          <cell r="G10">
            <v>6732.26</v>
          </cell>
          <cell r="H10">
            <v>6313</v>
          </cell>
          <cell r="I10">
            <v>6683</v>
          </cell>
          <cell r="J10">
            <v>6348</v>
          </cell>
          <cell r="K10">
            <v>6108</v>
          </cell>
          <cell r="L10">
            <v>6643</v>
          </cell>
          <cell r="M10">
            <v>5988</v>
          </cell>
          <cell r="N10">
            <v>7443</v>
          </cell>
        </row>
        <row r="11">
          <cell r="C11">
            <v>327</v>
          </cell>
          <cell r="D11">
            <v>367</v>
          </cell>
          <cell r="E11">
            <v>335</v>
          </cell>
          <cell r="F11">
            <v>449</v>
          </cell>
          <cell r="G11">
            <v>432</v>
          </cell>
          <cell r="H11">
            <v>540</v>
          </cell>
          <cell r="I11">
            <v>542</v>
          </cell>
          <cell r="J11">
            <v>482</v>
          </cell>
          <cell r="K11">
            <v>500</v>
          </cell>
          <cell r="L11">
            <v>477</v>
          </cell>
          <cell r="M11">
            <v>402</v>
          </cell>
          <cell r="N11">
            <v>490</v>
          </cell>
        </row>
        <row r="12">
          <cell r="C12"/>
          <cell r="D12">
            <v>70</v>
          </cell>
          <cell r="E12">
            <v>1500</v>
          </cell>
          <cell r="F12"/>
          <cell r="G12"/>
          <cell r="H12"/>
          <cell r="I12"/>
          <cell r="J12"/>
          <cell r="K12"/>
          <cell r="L12"/>
          <cell r="M12"/>
          <cell r="N12"/>
        </row>
        <row r="13">
          <cell r="C13">
            <v>200</v>
          </cell>
          <cell r="D13">
            <v>350</v>
          </cell>
          <cell r="E13">
            <v>255</v>
          </cell>
          <cell r="F13">
            <v>400</v>
          </cell>
          <cell r="G13">
            <v>320</v>
          </cell>
          <cell r="H13">
            <v>320</v>
          </cell>
          <cell r="I13">
            <v>275</v>
          </cell>
          <cell r="J13">
            <v>45</v>
          </cell>
          <cell r="K13">
            <v>90</v>
          </cell>
          <cell r="L13">
            <v>60</v>
          </cell>
          <cell r="M13">
            <v>60</v>
          </cell>
          <cell r="N13">
            <v>75</v>
          </cell>
        </row>
        <row r="14">
          <cell r="C14">
            <v>323.58</v>
          </cell>
          <cell r="D14">
            <v>374.95</v>
          </cell>
          <cell r="E14">
            <v>538.1</v>
          </cell>
          <cell r="F14">
            <v>672.65</v>
          </cell>
          <cell r="G14">
            <v>433.16</v>
          </cell>
          <cell r="H14">
            <v>484.66</v>
          </cell>
          <cell r="I14">
            <v>692.4</v>
          </cell>
          <cell r="J14">
            <v>776.08</v>
          </cell>
          <cell r="K14">
            <v>672.5</v>
          </cell>
          <cell r="L14">
            <v>669.8</v>
          </cell>
          <cell r="M14">
            <v>615.37</v>
          </cell>
          <cell r="N14">
            <v>618</v>
          </cell>
        </row>
        <row r="15">
          <cell r="C15">
            <v>24.59</v>
          </cell>
          <cell r="D15">
            <v>424.58</v>
          </cell>
          <cell r="E15"/>
          <cell r="F15">
            <v>69.67</v>
          </cell>
          <cell r="G15">
            <v>3058.98</v>
          </cell>
          <cell r="H15">
            <v>159.66</v>
          </cell>
          <cell r="I15">
            <v>49.83</v>
          </cell>
          <cell r="J15">
            <v>14.75</v>
          </cell>
          <cell r="K15">
            <v>19.66</v>
          </cell>
          <cell r="L15">
            <v>14.67</v>
          </cell>
          <cell r="M15">
            <v>132.47999999999999</v>
          </cell>
          <cell r="N15"/>
        </row>
        <row r="19">
          <cell r="C19">
            <v>1748</v>
          </cell>
          <cell r="D19">
            <v>1398</v>
          </cell>
          <cell r="E19">
            <v>1403</v>
          </cell>
          <cell r="F19">
            <v>1663</v>
          </cell>
          <cell r="G19">
            <v>1303</v>
          </cell>
          <cell r="H19">
            <v>1303</v>
          </cell>
          <cell r="I19">
            <v>1663</v>
          </cell>
          <cell r="J19">
            <v>1383</v>
          </cell>
          <cell r="K19">
            <v>1338</v>
          </cell>
          <cell r="L19">
            <v>1653</v>
          </cell>
          <cell r="M19">
            <v>2011.5</v>
          </cell>
          <cell r="N19">
            <v>1288</v>
          </cell>
        </row>
        <row r="20">
          <cell r="C20">
            <v>518.5</v>
          </cell>
          <cell r="D20">
            <v>542.5</v>
          </cell>
          <cell r="E20">
            <v>512.5</v>
          </cell>
          <cell r="F20">
            <v>512.5</v>
          </cell>
          <cell r="G20">
            <v>518.5</v>
          </cell>
          <cell r="H20">
            <v>512.5</v>
          </cell>
          <cell r="I20">
            <v>552.5</v>
          </cell>
          <cell r="J20">
            <v>568.5</v>
          </cell>
          <cell r="K20">
            <v>662.5</v>
          </cell>
          <cell r="L20">
            <v>683.5</v>
          </cell>
          <cell r="M20">
            <v>464</v>
          </cell>
          <cell r="N20">
            <v>674.31</v>
          </cell>
        </row>
        <row r="21">
          <cell r="C21">
            <v>180</v>
          </cell>
          <cell r="D21">
            <v>1559.15</v>
          </cell>
          <cell r="E21">
            <v>20</v>
          </cell>
          <cell r="F21"/>
          <cell r="G21">
            <v>50</v>
          </cell>
          <cell r="H21"/>
          <cell r="I21"/>
          <cell r="J21"/>
          <cell r="K21">
            <v>345</v>
          </cell>
          <cell r="L21">
            <v>190</v>
          </cell>
          <cell r="M21">
            <v>50</v>
          </cell>
          <cell r="N21"/>
        </row>
        <row r="22">
          <cell r="C22"/>
          <cell r="D22"/>
          <cell r="E22"/>
          <cell r="F22"/>
          <cell r="G22"/>
          <cell r="H22"/>
          <cell r="I22"/>
          <cell r="J22"/>
          <cell r="K22"/>
          <cell r="L22"/>
          <cell r="M22"/>
          <cell r="N22"/>
        </row>
        <row r="26">
          <cell r="C26">
            <v>4610.18</v>
          </cell>
          <cell r="D26"/>
          <cell r="E26"/>
          <cell r="F26">
            <v>4331.6899999999996</v>
          </cell>
          <cell r="G26">
            <v>355</v>
          </cell>
          <cell r="H26">
            <v>288.75</v>
          </cell>
          <cell r="I26">
            <v>4059.96</v>
          </cell>
          <cell r="J26"/>
          <cell r="K26"/>
          <cell r="L26">
            <v>4538</v>
          </cell>
          <cell r="M26">
            <v>3929.25</v>
          </cell>
          <cell r="N26">
            <v>35</v>
          </cell>
        </row>
        <row r="30">
          <cell r="C30"/>
          <cell r="D30"/>
          <cell r="E30"/>
          <cell r="F30"/>
          <cell r="G30"/>
          <cell r="H30"/>
          <cell r="I30"/>
          <cell r="J30"/>
          <cell r="K30"/>
          <cell r="L30"/>
          <cell r="M30"/>
          <cell r="N30"/>
        </row>
        <row r="34">
          <cell r="C34"/>
          <cell r="D34"/>
          <cell r="E34"/>
          <cell r="F34"/>
          <cell r="G34"/>
          <cell r="H34"/>
          <cell r="I34"/>
          <cell r="J34"/>
          <cell r="K34"/>
          <cell r="L34"/>
          <cell r="M34">
            <v>0</v>
          </cell>
          <cell r="N34">
            <v>0</v>
          </cell>
        </row>
        <row r="35">
          <cell r="C35"/>
          <cell r="D35"/>
          <cell r="E35"/>
          <cell r="F35"/>
          <cell r="G35"/>
          <cell r="H35"/>
          <cell r="I35"/>
          <cell r="J35"/>
          <cell r="K35"/>
          <cell r="L35"/>
          <cell r="M35"/>
          <cell r="N35"/>
        </row>
        <row r="36">
          <cell r="C36"/>
          <cell r="D36"/>
          <cell r="E36"/>
          <cell r="F36"/>
          <cell r="G36"/>
          <cell r="H36"/>
          <cell r="I36"/>
          <cell r="J36"/>
          <cell r="K36"/>
          <cell r="L36"/>
          <cell r="M36"/>
          <cell r="N36"/>
        </row>
        <row r="42">
          <cell r="C42">
            <v>1202.28</v>
          </cell>
          <cell r="D42">
            <v>1263.3499999999999</v>
          </cell>
          <cell r="E42">
            <v>1525.76</v>
          </cell>
          <cell r="F42">
            <v>1364.5</v>
          </cell>
          <cell r="G42">
            <v>1516.54</v>
          </cell>
          <cell r="H42">
            <v>1463.49</v>
          </cell>
          <cell r="I42">
            <v>1045.58</v>
          </cell>
          <cell r="J42">
            <v>997.98</v>
          </cell>
          <cell r="K42">
            <v>998.75</v>
          </cell>
          <cell r="L42">
            <v>973.13</v>
          </cell>
          <cell r="M42">
            <v>2083.75</v>
          </cell>
          <cell r="N42">
            <v>1699.25</v>
          </cell>
        </row>
        <row r="46">
          <cell r="C46"/>
          <cell r="D46"/>
          <cell r="E46"/>
          <cell r="F46">
            <v>2319.06</v>
          </cell>
          <cell r="G46">
            <v>2225.7600000000002</v>
          </cell>
          <cell r="H46"/>
          <cell r="I46"/>
          <cell r="J46"/>
          <cell r="K46"/>
          <cell r="L46"/>
          <cell r="M46">
            <v>1240.57</v>
          </cell>
          <cell r="N46"/>
        </row>
        <row r="47">
          <cell r="C47">
            <v>65.599999999999994</v>
          </cell>
          <cell r="D47">
            <v>53.69</v>
          </cell>
          <cell r="E47">
            <v>40.36</v>
          </cell>
          <cell r="F47">
            <v>64.61</v>
          </cell>
          <cell r="G47">
            <v>54.1</v>
          </cell>
          <cell r="H47">
            <v>69.61</v>
          </cell>
          <cell r="I47">
            <v>60.92</v>
          </cell>
          <cell r="J47">
            <v>34.94</v>
          </cell>
          <cell r="K47">
            <v>20.25</v>
          </cell>
          <cell r="L47">
            <v>19.03</v>
          </cell>
          <cell r="M47">
            <v>32.49</v>
          </cell>
          <cell r="N47">
            <v>41.88</v>
          </cell>
        </row>
        <row r="53">
          <cell r="C53"/>
          <cell r="D53">
            <v>300</v>
          </cell>
          <cell r="E53">
            <v>300</v>
          </cell>
          <cell r="F53"/>
          <cell r="G53"/>
          <cell r="H53">
            <v>600</v>
          </cell>
          <cell r="I53"/>
          <cell r="J53">
            <v>530</v>
          </cell>
          <cell r="K53">
            <v>275</v>
          </cell>
          <cell r="L53"/>
          <cell r="M53"/>
          <cell r="N53"/>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v>4.92</v>
          </cell>
          <cell r="G56"/>
          <cell r="H56">
            <v>20</v>
          </cell>
          <cell r="I56">
            <v>1000</v>
          </cell>
          <cell r="J56"/>
          <cell r="K56"/>
          <cell r="L56"/>
          <cell r="M56"/>
          <cell r="N56">
            <v>50</v>
          </cell>
        </row>
        <row r="58">
          <cell r="C58"/>
          <cell r="D58"/>
          <cell r="E58"/>
          <cell r="F58"/>
          <cell r="G58"/>
          <cell r="H58"/>
          <cell r="I58">
            <v>100</v>
          </cell>
          <cell r="J58"/>
          <cell r="K58">
            <v>2500</v>
          </cell>
          <cell r="L58"/>
          <cell r="M58"/>
          <cell r="N58">
            <v>0</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18"/>
      <sheetData sheetId="19">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20">
        <row r="10">
          <cell r="C10">
            <v>0</v>
          </cell>
          <cell r="D10">
            <v>0</v>
          </cell>
          <cell r="E10">
            <v>0</v>
          </cell>
          <cell r="F10">
            <v>0</v>
          </cell>
          <cell r="G10">
            <v>0</v>
          </cell>
          <cell r="H10">
            <v>0</v>
          </cell>
          <cell r="I10">
            <v>0</v>
          </cell>
          <cell r="J10">
            <v>0</v>
          </cell>
          <cell r="K10">
            <v>0</v>
          </cell>
          <cell r="L10">
            <v>0</v>
          </cell>
          <cell r="M10">
            <v>0</v>
          </cell>
          <cell r="N10">
            <v>0</v>
          </cell>
        </row>
        <row r="11">
          <cell r="C11">
            <v>0</v>
          </cell>
          <cell r="D11">
            <v>0</v>
          </cell>
          <cell r="E11">
            <v>0</v>
          </cell>
          <cell r="F11">
            <v>0</v>
          </cell>
          <cell r="G11">
            <v>0</v>
          </cell>
          <cell r="H11">
            <v>0</v>
          </cell>
          <cell r="I11">
            <v>0</v>
          </cell>
          <cell r="J11">
            <v>0</v>
          </cell>
          <cell r="K11">
            <v>0</v>
          </cell>
          <cell r="L11">
            <v>0</v>
          </cell>
          <cell r="M11">
            <v>0</v>
          </cell>
          <cell r="N11">
            <v>0</v>
          </cell>
        </row>
        <row r="12">
          <cell r="C12">
            <v>0</v>
          </cell>
        </row>
        <row r="13">
          <cell r="C13">
            <v>0</v>
          </cell>
          <cell r="D13">
            <v>0</v>
          </cell>
          <cell r="E13">
            <v>0</v>
          </cell>
          <cell r="F13">
            <v>0</v>
          </cell>
          <cell r="G13">
            <v>0</v>
          </cell>
          <cell r="H13">
            <v>0</v>
          </cell>
          <cell r="I13">
            <v>0</v>
          </cell>
          <cell r="J13">
            <v>0</v>
          </cell>
          <cell r="K13">
            <v>0</v>
          </cell>
          <cell r="L13">
            <v>0</v>
          </cell>
          <cell r="M13">
            <v>0</v>
          </cell>
          <cell r="N13">
            <v>0</v>
          </cell>
        </row>
        <row r="14">
          <cell r="C14">
            <v>0</v>
          </cell>
          <cell r="D14">
            <v>0</v>
          </cell>
          <cell r="E14">
            <v>0</v>
          </cell>
          <cell r="F14">
            <v>0</v>
          </cell>
          <cell r="G14">
            <v>0</v>
          </cell>
          <cell r="H14">
            <v>0</v>
          </cell>
          <cell r="I14">
            <v>0</v>
          </cell>
          <cell r="J14">
            <v>0</v>
          </cell>
          <cell r="K14">
            <v>0</v>
          </cell>
          <cell r="L14">
            <v>0</v>
          </cell>
          <cell r="M14">
            <v>0</v>
          </cell>
          <cell r="N14">
            <v>0</v>
          </cell>
        </row>
        <row r="15">
          <cell r="C15">
            <v>0</v>
          </cell>
          <cell r="D15">
            <v>0</v>
          </cell>
          <cell r="E15">
            <v>0</v>
          </cell>
          <cell r="F15">
            <v>0</v>
          </cell>
          <cell r="G15">
            <v>0</v>
          </cell>
          <cell r="H15">
            <v>0</v>
          </cell>
          <cell r="I15">
            <v>0</v>
          </cell>
          <cell r="J15">
            <v>0</v>
          </cell>
          <cell r="K15">
            <v>0</v>
          </cell>
          <cell r="L15">
            <v>0</v>
          </cell>
          <cell r="M15">
            <v>0</v>
          </cell>
          <cell r="N15">
            <v>0</v>
          </cell>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21"/>
      <sheetData sheetId="22">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23"/>
      <sheetData sheetId="24"/>
      <sheetData sheetId="25">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26"/>
      <sheetData sheetId="27">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28"/>
      <sheetData sheetId="29">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30"/>
      <sheetData sheetId="31">
        <row r="10">
          <cell r="C10"/>
          <cell r="D10"/>
          <cell r="E10"/>
          <cell r="F10"/>
          <cell r="G10"/>
          <cell r="H10"/>
          <cell r="I10"/>
          <cell r="J10"/>
          <cell r="K10"/>
          <cell r="L10"/>
          <cell r="M10"/>
          <cell r="N10"/>
        </row>
        <row r="11">
          <cell r="C11"/>
          <cell r="D11"/>
          <cell r="E11"/>
          <cell r="F11"/>
          <cell r="G11"/>
          <cell r="H11"/>
          <cell r="I11"/>
          <cell r="J11"/>
          <cell r="K11"/>
          <cell r="L11"/>
          <cell r="M11"/>
          <cell r="N11"/>
        </row>
        <row r="12">
          <cell r="C12"/>
          <cell r="D12"/>
          <cell r="E12"/>
          <cell r="F12"/>
          <cell r="G12"/>
          <cell r="H12"/>
          <cell r="I12"/>
          <cell r="J12"/>
          <cell r="K12"/>
          <cell r="L12"/>
          <cell r="M12"/>
          <cell r="N12"/>
        </row>
        <row r="13">
          <cell r="C13"/>
          <cell r="D13"/>
          <cell r="E13"/>
          <cell r="F13"/>
          <cell r="G13"/>
          <cell r="H13"/>
          <cell r="I13"/>
          <cell r="J13"/>
          <cell r="K13"/>
          <cell r="L13"/>
          <cell r="M13"/>
          <cell r="N13"/>
        </row>
        <row r="14">
          <cell r="C14"/>
          <cell r="D14"/>
          <cell r="E14"/>
          <cell r="F14"/>
          <cell r="G14"/>
          <cell r="H14"/>
          <cell r="I14"/>
          <cell r="J14"/>
          <cell r="K14"/>
          <cell r="L14"/>
          <cell r="M14"/>
          <cell r="N14"/>
        </row>
        <row r="15">
          <cell r="C15"/>
          <cell r="D15"/>
          <cell r="E15"/>
          <cell r="F15"/>
          <cell r="G15"/>
          <cell r="H15"/>
          <cell r="I15"/>
          <cell r="J15"/>
          <cell r="K15"/>
          <cell r="L15"/>
          <cell r="M15"/>
          <cell r="N15"/>
        </row>
        <row r="19">
          <cell r="C19"/>
          <cell r="D19"/>
          <cell r="E19"/>
          <cell r="F19"/>
          <cell r="G19"/>
          <cell r="H19"/>
          <cell r="I19"/>
          <cell r="J19"/>
          <cell r="K19"/>
          <cell r="L19"/>
          <cell r="M19"/>
          <cell r="N19"/>
        </row>
        <row r="20">
          <cell r="C20"/>
          <cell r="D20"/>
          <cell r="E20"/>
          <cell r="F20"/>
          <cell r="G20"/>
          <cell r="H20"/>
          <cell r="I20"/>
          <cell r="J20"/>
          <cell r="K20"/>
          <cell r="L20"/>
          <cell r="M20"/>
          <cell r="N20"/>
        </row>
        <row r="21">
          <cell r="C21"/>
          <cell r="D21"/>
          <cell r="E21"/>
          <cell r="F21"/>
          <cell r="G21"/>
          <cell r="H21"/>
          <cell r="I21"/>
          <cell r="J21"/>
          <cell r="K21"/>
          <cell r="L21"/>
          <cell r="M21"/>
          <cell r="N21"/>
        </row>
        <row r="22">
          <cell r="C22"/>
          <cell r="D22"/>
          <cell r="E22"/>
          <cell r="F22"/>
          <cell r="G22"/>
          <cell r="H22"/>
          <cell r="I22"/>
          <cell r="J22"/>
          <cell r="K22"/>
          <cell r="L22"/>
          <cell r="M22"/>
          <cell r="N22"/>
        </row>
        <row r="26">
          <cell r="C26"/>
          <cell r="D26"/>
          <cell r="E26"/>
          <cell r="F26"/>
          <cell r="G26"/>
          <cell r="H26"/>
          <cell r="I26"/>
          <cell r="J26"/>
          <cell r="K26"/>
          <cell r="L26"/>
          <cell r="M26"/>
          <cell r="N26"/>
        </row>
        <row r="31">
          <cell r="C31"/>
          <cell r="D31"/>
          <cell r="E31"/>
          <cell r="F31"/>
          <cell r="G31"/>
          <cell r="H31"/>
          <cell r="I31"/>
          <cell r="J31"/>
          <cell r="K31"/>
          <cell r="L31"/>
          <cell r="M31"/>
          <cell r="N31"/>
        </row>
        <row r="35">
          <cell r="C35"/>
          <cell r="D35"/>
          <cell r="E35"/>
          <cell r="F35"/>
          <cell r="G35"/>
          <cell r="H35"/>
          <cell r="I35"/>
          <cell r="J35"/>
          <cell r="K35"/>
          <cell r="L35"/>
          <cell r="M35"/>
          <cell r="N35"/>
        </row>
        <row r="36">
          <cell r="C36"/>
          <cell r="D36"/>
          <cell r="E36"/>
          <cell r="F36"/>
          <cell r="G36"/>
          <cell r="H36"/>
          <cell r="I36"/>
          <cell r="J36"/>
          <cell r="K36"/>
          <cell r="L36"/>
          <cell r="M36"/>
          <cell r="N36"/>
        </row>
        <row r="37">
          <cell r="C37"/>
          <cell r="D37"/>
          <cell r="E37"/>
          <cell r="F37"/>
          <cell r="G37"/>
          <cell r="H37"/>
          <cell r="I37"/>
          <cell r="J37"/>
          <cell r="K37"/>
          <cell r="L37"/>
          <cell r="M37"/>
          <cell r="N37"/>
        </row>
        <row r="43">
          <cell r="C43"/>
          <cell r="D43"/>
          <cell r="E43"/>
          <cell r="F43"/>
          <cell r="G43"/>
          <cell r="H43"/>
          <cell r="I43"/>
          <cell r="J43"/>
          <cell r="K43"/>
          <cell r="L43"/>
          <cell r="M43"/>
          <cell r="N43"/>
        </row>
        <row r="47">
          <cell r="C47"/>
          <cell r="D47"/>
          <cell r="E47"/>
          <cell r="F47"/>
          <cell r="G47"/>
          <cell r="H47"/>
          <cell r="I47"/>
          <cell r="J47"/>
          <cell r="K47"/>
          <cell r="L47"/>
          <cell r="M47"/>
          <cell r="N47"/>
        </row>
        <row r="48">
          <cell r="C48"/>
          <cell r="D48"/>
          <cell r="E48"/>
          <cell r="F48"/>
          <cell r="G48"/>
          <cell r="H48"/>
          <cell r="I48"/>
          <cell r="J48"/>
          <cell r="K48"/>
          <cell r="L48"/>
          <cell r="M48"/>
          <cell r="N48"/>
        </row>
        <row r="54">
          <cell r="C54"/>
          <cell r="D54"/>
          <cell r="E54"/>
          <cell r="F54"/>
          <cell r="G54"/>
          <cell r="H54"/>
          <cell r="I54"/>
          <cell r="J54"/>
          <cell r="K54"/>
          <cell r="L54"/>
          <cell r="M54"/>
          <cell r="N54"/>
        </row>
        <row r="55">
          <cell r="C55"/>
          <cell r="D55"/>
          <cell r="E55"/>
          <cell r="F55"/>
          <cell r="G55"/>
          <cell r="H55"/>
          <cell r="I55"/>
          <cell r="J55"/>
          <cell r="K55"/>
          <cell r="L55"/>
          <cell r="M55"/>
          <cell r="N55"/>
        </row>
        <row r="56">
          <cell r="C56"/>
          <cell r="D56"/>
          <cell r="E56"/>
          <cell r="F56"/>
          <cell r="G56"/>
          <cell r="H56"/>
          <cell r="I56"/>
          <cell r="J56"/>
          <cell r="K56"/>
          <cell r="L56"/>
          <cell r="M56"/>
          <cell r="N56"/>
        </row>
        <row r="57">
          <cell r="C57"/>
          <cell r="D57"/>
          <cell r="E57"/>
          <cell r="F57"/>
          <cell r="G57"/>
          <cell r="H57"/>
          <cell r="I57"/>
          <cell r="J57"/>
          <cell r="K57"/>
          <cell r="L57"/>
          <cell r="M57"/>
          <cell r="N57"/>
        </row>
        <row r="59">
          <cell r="C59"/>
          <cell r="D59"/>
          <cell r="E59"/>
          <cell r="F59"/>
          <cell r="G59"/>
          <cell r="H59"/>
          <cell r="I59"/>
          <cell r="J59"/>
          <cell r="K59"/>
          <cell r="L59"/>
          <cell r="M59"/>
          <cell r="N59"/>
        </row>
      </sheetData>
      <sheetData sheetId="32"/>
      <sheetData sheetId="33"/>
      <sheetData sheetId="34"/>
    </sheetDataSet>
  </externalBook>
</externalLink>
</file>

<file path=xl/persons/person.xml><?xml version="1.0" encoding="utf-8"?>
<personList xmlns="http://schemas.microsoft.com/office/spreadsheetml/2018/threadedcomments" xmlns:x="http://schemas.openxmlformats.org/spreadsheetml/2006/main">
  <person displayName="Ian Mechie" id="{C2B4BED6-B0F8-47ED-AE72-EC63FF9EC7FC}" userId="aadced6c23051763" providerId="Windows Liv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34" dT="2026-02-15T18:40:14.22" personId="{C2B4BED6-B0F8-47ED-AE72-EC63FF9EC7FC}" id="{76CE99ED-EF46-49F2-B6D0-9208362C1602}">
    <text>4375 for benevolent fund</text>
  </threadedComment>
  <threadedComment ref="N34" dT="2026-02-15T18:40:41.39" personId="{C2B4BED6-B0F8-47ED-AE72-EC63FF9EC7FC}" id="{B824ECD1-1A99-4CF1-8071-B05FEB9CAB3A}">
    <text>345.77 for benevolent fund</text>
  </threadedComment>
  <threadedComment ref="N58" dT="2026-02-15T18:32:28.11" personId="{C2B4BED6-B0F8-47ED-AE72-EC63FF9EC7FC}" id="{C5ACA2B2-DD4C-4615-9CF3-78D2FEB91F04}">
    <text>2378.8 moved to defray fabric roof</text>
  </threadedComment>
</ThreadedComments>
</file>

<file path=xl/threadedComments/threadedComment2.xml><?xml version="1.0" encoding="utf-8"?>
<ThreadedComments xmlns="http://schemas.microsoft.com/office/spreadsheetml/2018/threadedcomments" xmlns:x="http://schemas.openxmlformats.org/spreadsheetml/2006/main">
  <threadedComment ref="N57" dT="2026-02-15T18:39:28.01" personId="{C2B4BED6-B0F8-47ED-AE72-EC63FF9EC7FC}" id="{AB6B06E5-A7BB-4060-A83A-0A0CAA132428}">
    <text>-4720.77 Benevolent fund</text>
  </threadedComment>
</ThreadedComments>
</file>

<file path=xl/threadedComments/threadedComment3.xml><?xml version="1.0" encoding="utf-8"?>
<ThreadedComments xmlns="http://schemas.microsoft.com/office/spreadsheetml/2018/threadedcomments" xmlns:x="http://schemas.openxmlformats.org/spreadsheetml/2006/main">
  <threadedComment ref="N34" dT="2026-02-15T18:33:14.41" personId="{C2B4BED6-B0F8-47ED-AE72-EC63FF9EC7FC}" id="{2119A8F9-39AE-4AC6-A3BE-60CC79A9CA27}">
    <text>Tax refund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microsoft.com/office/2017/10/relationships/threadedComment" Target="../threadedComments/threadedComment3.xml"/></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08B6EC-52B2-447D-9D76-5CC60FD97CA1}">
  <sheetPr>
    <pageSetUpPr fitToPage="1"/>
  </sheetPr>
  <dimension ref="A1:A14"/>
  <sheetViews>
    <sheetView workbookViewId="0">
      <selection activeCell="A7" sqref="A7"/>
    </sheetView>
  </sheetViews>
  <sheetFormatPr defaultRowHeight="14.25"/>
  <cols>
    <col min="1" max="1" width="163.42578125" style="168" bestFit="1" customWidth="1"/>
  </cols>
  <sheetData>
    <row r="1" spans="1:1">
      <c r="A1" s="201" t="s">
        <v>0</v>
      </c>
    </row>
    <row r="2" spans="1:1">
      <c r="A2" s="201" t="s">
        <v>1</v>
      </c>
    </row>
    <row r="3" spans="1:1">
      <c r="A3" s="202">
        <v>46173</v>
      </c>
    </row>
    <row r="6" spans="1:1">
      <c r="A6" s="201" t="s">
        <v>2</v>
      </c>
    </row>
    <row r="7" spans="1:1" ht="15.4">
      <c r="A7" s="176" t="s">
        <v>3</v>
      </c>
    </row>
    <row r="8" spans="1:1" ht="15.4">
      <c r="A8" s="176" t="s">
        <v>4</v>
      </c>
    </row>
    <row r="9" spans="1:1" ht="15.4">
      <c r="A9" s="176" t="s">
        <v>5</v>
      </c>
    </row>
    <row r="10" spans="1:1" ht="15.4">
      <c r="A10" s="176" t="s">
        <v>6</v>
      </c>
    </row>
    <row r="11" spans="1:1" ht="15.4">
      <c r="A11" s="176" t="s">
        <v>7</v>
      </c>
    </row>
    <row r="12" spans="1:1">
      <c r="A12" s="203"/>
    </row>
    <row r="13" spans="1:1" ht="15.4">
      <c r="A13" s="204" t="s">
        <v>8</v>
      </c>
    </row>
    <row r="14" spans="1:1" ht="15.4">
      <c r="A14" s="204" t="s">
        <v>9</v>
      </c>
    </row>
  </sheetData>
  <pageMargins left="0.7" right="0.7" top="0.75" bottom="0.75" header="0.3" footer="0.3"/>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65"/>
  <sheetViews>
    <sheetView zoomScale="80" zoomScaleNormal="80" workbookViewId="0">
      <pane xSplit="1" ySplit="6" topLeftCell="B7" activePane="bottomRight" state="frozen"/>
      <selection pane="bottomRight" activeCell="F10" sqref="F10"/>
      <selection pane="bottomLeft" activeCell="A7" sqref="A7"/>
      <selection pane="topRight" activeCell="B1" sqref="B1"/>
    </sheetView>
  </sheetViews>
  <sheetFormatPr defaultColWidth="9" defaultRowHeight="14.25" outlineLevelCol="1"/>
  <cols>
    <col min="1" max="1" width="47.5703125" bestFit="1" customWidth="1"/>
    <col min="2" max="8" width="9" style="4" customWidth="1"/>
    <col min="9" max="10" width="8.85546875" style="4" bestFit="1" customWidth="1"/>
    <col min="11" max="11" width="8.5703125" style="4" bestFit="1" customWidth="1"/>
    <col min="12" max="12" width="9" style="4" customWidth="1"/>
    <col min="13" max="13" width="11" style="4" bestFit="1" customWidth="1"/>
    <col min="14" max="14" width="9.28515625" style="4" bestFit="1" customWidth="1"/>
    <col min="15" max="15" width="9" style="4" hidden="1" customWidth="1" outlineLevel="1"/>
    <col min="16" max="16" width="8.5703125" style="4" hidden="1" customWidth="1" outlineLevel="1"/>
    <col min="17" max="17" width="8.28515625" style="4" hidden="1" customWidth="1" outlineLevel="1"/>
    <col min="18" max="18" width="7.28515625" style="4" hidden="1" customWidth="1" outlineLevel="1"/>
    <col min="19" max="19" width="8.28515625" style="4" hidden="1" customWidth="1" outlineLevel="1"/>
    <col min="20" max="20" width="10" style="4" hidden="1" customWidth="1" outlineLevel="1"/>
    <col min="21" max="21" width="8" style="4" hidden="1" customWidth="1" outlineLevel="1"/>
    <col min="22" max="22" width="9.5703125" style="4" hidden="1" customWidth="1" outlineLevel="1"/>
    <col min="23" max="23" width="8.5703125" style="4" hidden="1" customWidth="1" outlineLevel="1"/>
    <col min="24" max="24" width="3" customWidth="1" collapsed="1"/>
    <col min="25" max="25" width="10.85546875" style="13" bestFit="1" customWidth="1"/>
    <col min="26" max="26" width="10" style="13" bestFit="1" customWidth="1"/>
    <col min="27" max="27" width="3" customWidth="1"/>
    <col min="28" max="28" width="10.85546875" style="13" bestFit="1" customWidth="1"/>
    <col min="29" max="29" width="10" bestFit="1" customWidth="1"/>
    <col min="30" max="30" width="9.42578125" customWidth="1"/>
    <col min="32" max="32" width="28.28515625" bestFit="1" customWidth="1"/>
  </cols>
  <sheetData>
    <row r="1" spans="1:30">
      <c r="A1" s="1" t="s">
        <v>0</v>
      </c>
      <c r="B1" s="3"/>
    </row>
    <row r="2" spans="1:30">
      <c r="A2" s="1" t="s">
        <v>10</v>
      </c>
      <c r="Y2" s="116">
        <v>5</v>
      </c>
      <c r="AB2" s="116">
        <v>5</v>
      </c>
    </row>
    <row r="3" spans="1:30">
      <c r="A3" s="196">
        <f>Comments!A3</f>
        <v>46173</v>
      </c>
      <c r="AB3" s="14" t="s">
        <v>11</v>
      </c>
    </row>
    <row r="4" spans="1:30">
      <c r="A4" s="1" t="s">
        <v>12</v>
      </c>
      <c r="AB4" s="14" t="s">
        <v>13</v>
      </c>
    </row>
    <row r="5" spans="1:30">
      <c r="A5" s="7"/>
      <c r="B5" s="7"/>
      <c r="C5" s="7"/>
      <c r="D5" s="7"/>
      <c r="E5" s="7"/>
      <c r="F5" s="7"/>
      <c r="G5" s="7"/>
      <c r="H5" s="7"/>
      <c r="I5" s="7"/>
      <c r="J5" s="7"/>
      <c r="K5" s="7"/>
      <c r="L5" s="7"/>
      <c r="M5" s="7"/>
      <c r="N5" s="136"/>
      <c r="O5" s="136"/>
      <c r="P5" s="7"/>
      <c r="Q5" s="12" t="s">
        <v>14</v>
      </c>
      <c r="R5" s="12" t="s">
        <v>15</v>
      </c>
      <c r="S5" s="12" t="s">
        <v>16</v>
      </c>
      <c r="T5" s="12" t="s">
        <v>17</v>
      </c>
      <c r="U5" s="12" t="s">
        <v>18</v>
      </c>
      <c r="V5" s="12" t="s">
        <v>19</v>
      </c>
      <c r="W5" s="7"/>
      <c r="Y5" s="14" t="s">
        <v>20</v>
      </c>
      <c r="AB5" s="68">
        <v>2025</v>
      </c>
      <c r="AC5" s="13"/>
      <c r="AD5" s="68" t="s">
        <v>21</v>
      </c>
    </row>
    <row r="6" spans="1:30">
      <c r="A6" s="12"/>
      <c r="B6" s="12" t="s">
        <v>22</v>
      </c>
      <c r="C6" s="12" t="s">
        <v>23</v>
      </c>
      <c r="D6" s="12" t="s">
        <v>24</v>
      </c>
      <c r="E6" s="12" t="s">
        <v>25</v>
      </c>
      <c r="F6" s="12" t="s">
        <v>26</v>
      </c>
      <c r="G6" s="12" t="s">
        <v>27</v>
      </c>
      <c r="H6" s="12" t="s">
        <v>28</v>
      </c>
      <c r="I6" s="12" t="s">
        <v>29</v>
      </c>
      <c r="J6" s="12" t="s">
        <v>30</v>
      </c>
      <c r="K6" s="12" t="s">
        <v>31</v>
      </c>
      <c r="L6" s="12" t="s">
        <v>32</v>
      </c>
      <c r="M6" s="12" t="s">
        <v>33</v>
      </c>
      <c r="N6" s="120" t="s">
        <v>34</v>
      </c>
      <c r="O6" s="120" t="s">
        <v>35</v>
      </c>
      <c r="P6" s="12" t="s">
        <v>36</v>
      </c>
      <c r="Q6" s="12" t="s">
        <v>37</v>
      </c>
      <c r="R6" s="12" t="s">
        <v>38</v>
      </c>
      <c r="S6" s="12" t="s">
        <v>37</v>
      </c>
      <c r="T6" s="12" t="s">
        <v>39</v>
      </c>
      <c r="U6" s="12" t="s">
        <v>40</v>
      </c>
      <c r="V6" s="12" t="s">
        <v>41</v>
      </c>
      <c r="W6" s="12" t="s">
        <v>36</v>
      </c>
      <c r="Y6" s="31" t="s">
        <v>42</v>
      </c>
      <c r="Z6" s="31" t="s">
        <v>36</v>
      </c>
      <c r="AB6" s="31" t="s">
        <v>43</v>
      </c>
      <c r="AC6" s="31" t="s">
        <v>36</v>
      </c>
      <c r="AD6" s="31" t="s">
        <v>36</v>
      </c>
    </row>
    <row r="7" spans="1:30">
      <c r="A7" s="1" t="s">
        <v>44</v>
      </c>
      <c r="B7" s="12"/>
      <c r="C7" s="12"/>
      <c r="D7" s="12"/>
      <c r="E7" s="12"/>
      <c r="F7" s="12"/>
      <c r="G7" s="12"/>
      <c r="H7" s="12"/>
      <c r="I7" s="12"/>
      <c r="J7" s="12"/>
      <c r="K7" s="12"/>
      <c r="L7" s="12"/>
      <c r="M7" s="12"/>
      <c r="N7" s="120"/>
      <c r="O7" s="120"/>
      <c r="P7" s="12"/>
      <c r="Q7" s="12"/>
      <c r="R7" s="12"/>
      <c r="S7" s="12"/>
      <c r="T7" s="12"/>
      <c r="U7" s="12"/>
      <c r="V7" s="12"/>
      <c r="W7" s="12"/>
    </row>
    <row r="8" spans="1:30">
      <c r="A8" s="1" t="s">
        <v>45</v>
      </c>
      <c r="B8" s="12"/>
      <c r="C8" s="12"/>
      <c r="D8" s="12"/>
      <c r="E8" s="12"/>
      <c r="F8" s="12"/>
      <c r="G8" s="12"/>
      <c r="H8" s="12"/>
      <c r="I8" s="12"/>
      <c r="J8" s="12"/>
      <c r="K8" s="12"/>
      <c r="L8" s="12"/>
      <c r="M8" s="12"/>
      <c r="N8" s="120"/>
      <c r="O8" s="120"/>
      <c r="P8" s="12"/>
      <c r="Q8" s="12"/>
      <c r="R8" s="12"/>
      <c r="S8" s="12"/>
      <c r="T8" s="12"/>
      <c r="U8" s="12"/>
      <c r="V8" s="12"/>
      <c r="W8" s="12"/>
    </row>
    <row r="9" spans="1:30">
      <c r="A9" s="7" t="s">
        <v>46</v>
      </c>
    </row>
    <row r="10" spans="1:30">
      <c r="A10" s="15" t="s">
        <v>47</v>
      </c>
      <c r="B10" s="13">
        <f>'Income - General'!C10+'Income - Fabric'!C10+'Income - FlowerFund'!C10+'Income - SSchoolFund'!C10+'Income - Guild'!C10+'Income - Organ'!C10+'Income - SfSFund'!C10+'Income - Benevolent'!C10+'Income - Friday'!C10</f>
        <v>5873</v>
      </c>
      <c r="C10" s="13">
        <f>'Income - General'!D10+'Income - Fabric'!D10+'Income - FlowerFund'!D10+'Income - SSchoolFund'!D10+'Income - Guild'!D10+'Income - Organ'!D10+'Income - SfSFund'!D10+'Income - Benevolent'!D10+'Income - Friday'!D10</f>
        <v>6113</v>
      </c>
      <c r="D10" s="13">
        <f>'Income - General'!E10+'Income - Fabric'!E10+'Income - FlowerFund'!E10+'Income - SSchoolFund'!E10+'Income - Guild'!E10+'Income - Organ'!E10+'Income - SfSFund'!E10+'Income - Benevolent'!E10+'Income - Friday'!E10</f>
        <v>6308</v>
      </c>
      <c r="E10" s="13">
        <f>'Income - General'!F10+'Income - Fabric'!F10+'Income - FlowerFund'!F10+'Income - SSchoolFund'!F10+'Income - Guild'!F10+'Income - Organ'!F10+'Income - SfSFund'!F10+'Income - Benevolent'!F10+'Income - Friday'!F10</f>
        <v>6178</v>
      </c>
      <c r="F10" s="13">
        <f>'Income - General'!G10+'Income - Fabric'!G10+'Income - FlowerFund'!G10+'Income - SSchoolFund'!G10+'Income - Guild'!G10+'Income - Organ'!G10+'Income - SfSFund'!G10+'Income - Benevolent'!G10+'Income - Friday'!G10</f>
        <v>7273.41</v>
      </c>
      <c r="G10" s="13">
        <f>'Income - General'!H10+'Income - Fabric'!H10+'Income - FlowerFund'!H10+'Income - SSchoolFund'!H10+'Income - Guild'!H10+'Income - Organ'!H10+'Income - SfSFund'!H10+'Income - Benevolent'!H10+'Income - Friday'!H10</f>
        <v>0</v>
      </c>
      <c r="H10" s="13">
        <f>'Income - General'!I10+'Income - Fabric'!I10+'Income - FlowerFund'!I10+'Income - SSchoolFund'!I10+'Income - Guild'!I10+'Income - Organ'!I10+'Income - SfSFund'!I10+'Income - Benevolent'!I10+'Income - Friday'!I10</f>
        <v>0</v>
      </c>
      <c r="I10" s="13">
        <f>'Income - General'!J10+'Income - Fabric'!J10+'Income - FlowerFund'!J10+'Income - SSchoolFund'!J10+'Income - Guild'!J10+'Income - Organ'!J10+'Income - SfSFund'!J10+'Income - Benevolent'!J10+'Income - Friday'!J10</f>
        <v>0</v>
      </c>
      <c r="J10" s="13">
        <f>'Income - General'!K10+'Income - Fabric'!K10+'Income - FlowerFund'!K10+'Income - SSchoolFund'!K10+'Income - Guild'!K10+'Income - Organ'!K10+'Income - SfSFund'!K10+'Income - Benevolent'!K10+'Income - Friday'!K10</f>
        <v>0</v>
      </c>
      <c r="K10" s="13">
        <f>'Income - General'!L10+'Income - Fabric'!L10+'Income - FlowerFund'!L10+'Income - SSchoolFund'!L10+'Income - Guild'!L10+'Income - Organ'!L10+'Income - SfSFund'!L10+'Income - Benevolent'!L10+'Income - Friday'!L10</f>
        <v>0</v>
      </c>
      <c r="L10" s="13">
        <f>'Income - General'!M10+'Income - Fabric'!M10+'Income - FlowerFund'!M10+'Income - SSchoolFund'!M10+'Income - Guild'!M10+'Income - Organ'!M10+'Income - SfSFund'!M10+'Income - Benevolent'!M10+'Income - Friday'!M10</f>
        <v>0</v>
      </c>
      <c r="M10" s="13">
        <f>'Income - General'!N10+'Income - Fabric'!N10+'Income - FlowerFund'!N10+'Income - SSchoolFund'!N10+'Income - Guild'!N10+'Income - Organ'!N10+'Income - SfSFund'!N10+'Income - Benevolent'!N10+'Income - Friday'!N10</f>
        <v>0</v>
      </c>
      <c r="N10" s="13">
        <f t="shared" ref="N10:N15" si="0">SUM(B10:M10)</f>
        <v>31745.41</v>
      </c>
      <c r="O10" s="13"/>
      <c r="P10" s="13">
        <f t="shared" ref="P10:P15" si="1">N10-O10</f>
        <v>31745.41</v>
      </c>
      <c r="Q10" s="13"/>
      <c r="R10" s="13"/>
      <c r="S10" s="13"/>
      <c r="T10" s="13"/>
      <c r="U10" s="13"/>
      <c r="V10" s="13"/>
      <c r="W10" s="13">
        <f t="shared" ref="W10:W15" si="2">SUM(P10:V10)</f>
        <v>31745.41</v>
      </c>
      <c r="Y10" s="13">
        <f>SUMIF('Income - OverallBUD'!$C$4:$N$4,'Income - Overall'!$Y$2,'Income - OverallBUD'!$C10:$N10)</f>
        <v>26000</v>
      </c>
      <c r="Z10" s="13">
        <f t="shared" ref="Z10:Z15" si="3">N10-Y10</f>
        <v>5745.41</v>
      </c>
      <c r="AB10" s="13">
        <f ca="1">SUMIF('Income - OverallPY'!$B$4:$N$4,'Income - Overall'!$AB$2,'Income - OverallPY'!$B10:$M10)</f>
        <v>31440.760000000002</v>
      </c>
      <c r="AC10" s="13">
        <f t="shared" ref="AC10:AC15" ca="1" si="4">N10-AB10</f>
        <v>304.64999999999782</v>
      </c>
      <c r="AD10" s="124">
        <f ca="1">IF(ISERROR((N10/AB10)-1),"-",(N10/AB10)-1)</f>
        <v>9.6896512679718327E-3</v>
      </c>
    </row>
    <row r="11" spans="1:30">
      <c r="A11" s="15" t="s">
        <v>48</v>
      </c>
      <c r="B11" s="13">
        <f>'Income - General'!C11+'Income - Fabric'!C11+'Income - FlowerFund'!C11+'Income - SSchoolFund'!C11+'Income - Guild'!C11+'Income - Organ'!C11+'Income - SfSFund'!C11+'Income - Benevolent'!C11+'Income - Friday'!C11</f>
        <v>502</v>
      </c>
      <c r="C11" s="13">
        <f>'Income - General'!D11+'Income - Fabric'!D11+'Income - FlowerFund'!D11+'Income - SSchoolFund'!D11+'Income - Guild'!D11+'Income - Organ'!D11+'Income - SfSFund'!D11+'Income - Benevolent'!D11+'Income - Friday'!D11</f>
        <v>452</v>
      </c>
      <c r="D11" s="13">
        <f>'Income - General'!E11+'Income - Fabric'!E11+'Income - FlowerFund'!E11+'Income - SSchoolFund'!E11+'Income - Guild'!E11+'Income - Organ'!E11+'Income - SfSFund'!E11+'Income - Benevolent'!E11+'Income - Friday'!E11</f>
        <v>470</v>
      </c>
      <c r="E11" s="13">
        <f>'Income - General'!F11+'Income - Fabric'!F11+'Income - FlowerFund'!F11+'Income - SSchoolFund'!F11+'Income - Guild'!F11+'Income - Organ'!F11+'Income - SfSFund'!F11+'Income - Benevolent'!F11+'Income - Friday'!F11</f>
        <v>457</v>
      </c>
      <c r="F11" s="13">
        <f>'Income - General'!G11+'Income - Fabric'!G11+'Income - FlowerFund'!G11+'Income - SSchoolFund'!G11+'Income - Guild'!G11+'Income - Organ'!G11+'Income - SfSFund'!G11+'Income - Benevolent'!G11+'Income - Friday'!G11</f>
        <v>457</v>
      </c>
      <c r="G11" s="13">
        <f>'Income - General'!H11+'Income - Fabric'!H11+'Income - FlowerFund'!H11+'Income - SSchoolFund'!H11+'Income - Guild'!H11+'Income - Organ'!H11+'Income - SfSFund'!H11+'Income - Benevolent'!H11+'Income - Friday'!H11</f>
        <v>0</v>
      </c>
      <c r="H11" s="13">
        <f>'Income - General'!I11+'Income - Fabric'!I11+'Income - FlowerFund'!I11+'Income - SSchoolFund'!I11+'Income - Guild'!I11+'Income - Organ'!I11+'Income - SfSFund'!I11+'Income - Benevolent'!I11+'Income - Friday'!I11</f>
        <v>0</v>
      </c>
      <c r="I11" s="13">
        <f>'Income - General'!J11+'Income - Fabric'!J11+'Income - FlowerFund'!J11+'Income - SSchoolFund'!J11+'Income - Guild'!J11+'Income - Organ'!J11+'Income - SfSFund'!J11+'Income - Benevolent'!J11+'Income - Friday'!J11</f>
        <v>0</v>
      </c>
      <c r="J11" s="13">
        <f>'Income - General'!K11+'Income - Fabric'!K11+'Income - FlowerFund'!K11+'Income - SSchoolFund'!K11+'Income - Guild'!K11+'Income - Organ'!K11+'Income - SfSFund'!K11+'Income - Benevolent'!K11+'Income - Friday'!K11</f>
        <v>0</v>
      </c>
      <c r="K11" s="13">
        <f>'Income - General'!L11+'Income - Fabric'!L11+'Income - FlowerFund'!L11+'Income - SSchoolFund'!L11+'Income - Guild'!L11+'Income - Organ'!L11+'Income - SfSFund'!L11+'Income - Benevolent'!L11+'Income - Friday'!L11</f>
        <v>0</v>
      </c>
      <c r="L11" s="13">
        <f>'Income - General'!M11+'Income - Fabric'!M11+'Income - FlowerFund'!M11+'Income - SSchoolFund'!M11+'Income - Guild'!M11+'Income - Organ'!M11+'Income - SfSFund'!M11+'Income - Benevolent'!M11+'Income - Friday'!M11</f>
        <v>0</v>
      </c>
      <c r="M11" s="13">
        <f>'Income - General'!N11+'Income - Fabric'!N11+'Income - FlowerFund'!N11+'Income - SSchoolFund'!N11+'Income - Guild'!N11+'Income - Organ'!N11+'Income - SfSFund'!N11+'Income - Benevolent'!N11+'Income - Friday'!N11</f>
        <v>0</v>
      </c>
      <c r="N11" s="13">
        <f t="shared" si="0"/>
        <v>2338</v>
      </c>
      <c r="O11" s="13"/>
      <c r="P11" s="13">
        <f t="shared" si="1"/>
        <v>2338</v>
      </c>
      <c r="Q11" s="13"/>
      <c r="R11" s="13"/>
      <c r="S11" s="13"/>
      <c r="T11" s="13"/>
      <c r="U11" s="13"/>
      <c r="V11" s="13"/>
      <c r="W11" s="13">
        <f t="shared" si="2"/>
        <v>2338</v>
      </c>
      <c r="Y11" s="13">
        <f>SUMIF('Income - OverallBUD'!$C$4:$N$4,'Income - Overall'!$Y$2,'Income - OverallBUD'!$C11:$N11)</f>
        <v>2750</v>
      </c>
      <c r="Z11" s="13">
        <f t="shared" si="3"/>
        <v>-412</v>
      </c>
      <c r="AB11" s="13">
        <f ca="1">SUMIF('Income - OverallPY'!$B$4:$N$4,'Income - Overall'!$AB$2,'Income - OverallPY'!$B11:$M11)</f>
        <v>1910</v>
      </c>
      <c r="AC11" s="13">
        <f t="shared" ca="1" si="4"/>
        <v>428</v>
      </c>
      <c r="AD11" s="124">
        <f t="shared" ref="AD11:AD16" ca="1" si="5">IF(ISERROR((N11/AB11)-1),"-",(N11/AB11)-1)</f>
        <v>0.22408376963350785</v>
      </c>
    </row>
    <row r="12" spans="1:30">
      <c r="A12" s="15" t="s">
        <v>49</v>
      </c>
      <c r="B12" s="13">
        <f>'Income - General'!C12+'Income - Fabric'!C12+'Income - FlowerFund'!C12+'Income - SSchoolFund'!C12+'Income - Guild'!C12+'Income - Organ'!C12+'Income - SfSFund'!C12+'Income - Benevolent'!C12+'Income - Friday'!C12</f>
        <v>470.62</v>
      </c>
      <c r="C12" s="13">
        <f>'Income - General'!D12+'Income - Fabric'!D12+'Income - FlowerFund'!D12+'Income - SSchoolFund'!D12+'Income - Guild'!D12+'Income - Organ'!D12+'Income - SfSFund'!D11+'Income - Benevolent'!D12+'Income - Friday'!D12</f>
        <v>514.53</v>
      </c>
      <c r="D12" s="13">
        <f>'Income - General'!E12+'Income - Fabric'!E12+'Income - FlowerFund'!E12+'Income - SSchoolFund'!E12+'Income - Guild'!E12+'Income - Organ'!E12+'Income - SfSFund'!E11+'Income - Benevolent'!E12+'Income - Friday'!E12</f>
        <v>606.79999999999995</v>
      </c>
      <c r="E12" s="13">
        <f>'Income - General'!F12+'Income - Fabric'!F12+'Income - FlowerFund'!F12+'Income - SSchoolFund'!F12+'Income - Guild'!F12+'Income - Organ'!F12+'Income - SfSFund'!F11+'Income - Benevolent'!F12+'Income - Friday'!F12</f>
        <v>0</v>
      </c>
      <c r="F12" s="13">
        <f>'Income - General'!G12+'Income - Fabric'!G12+'Income - FlowerFund'!G12+'Income - SSchoolFund'!G12+'Income - Guild'!G12+'Income - Organ'!G12+'Income - SfSFund'!G11+'Income - Benevolent'!G12+'Income - Friday'!G12</f>
        <v>0</v>
      </c>
      <c r="G12" s="13">
        <f>'Income - General'!H12+'Income - Fabric'!H12+'Income - FlowerFund'!H12+'Income - SSchoolFund'!H12+'Income - Guild'!H12+'Income - Organ'!H12+'Income - SfSFund'!H11+'Income - Benevolent'!H12+'Income - Friday'!H12</f>
        <v>0</v>
      </c>
      <c r="H12" s="13">
        <f>'Income - General'!I12+'Income - Fabric'!I12+'Income - FlowerFund'!I12+'Income - SSchoolFund'!I12+'Income - Guild'!I12+'Income - Organ'!I12+'Income - SfSFund'!I11+'Income - Benevolent'!I12+'Income - Friday'!I12</f>
        <v>0</v>
      </c>
      <c r="I12" s="13">
        <f>'Income - General'!J12+'Income - Fabric'!J12+'Income - FlowerFund'!J12+'Income - SSchoolFund'!J12+'Income - Guild'!J12+'Income - Organ'!J12+'Income - SfSFund'!J11+'Income - Benevolent'!J12+'Income - Friday'!J12</f>
        <v>0</v>
      </c>
      <c r="J12" s="13">
        <f>'Income - General'!K12+'Income - Fabric'!K12+'Income - FlowerFund'!K12+'Income - SSchoolFund'!K12+'Income - Guild'!K12+'Income - Organ'!K12+'Income - SfSFund'!K11+'Income - Benevolent'!K12+'Income - Friday'!K12</f>
        <v>0</v>
      </c>
      <c r="K12" s="13">
        <f>'Income - General'!L12+'Income - Fabric'!L12+'Income - FlowerFund'!L12+'Income - SSchoolFund'!L12+'Income - Guild'!L12+'Income - Organ'!L12+'Income - SfSFund'!L11+'Income - Benevolent'!L12+'Income - Friday'!L12</f>
        <v>0</v>
      </c>
      <c r="L12" s="13">
        <f>'Income - General'!M12+'Income - Fabric'!M12+'Income - FlowerFund'!M12+'Income - SSchoolFund'!M12+'Income - Guild'!M12+'Income - Organ'!M12+'Income - SfSFund'!M11+'Income - Benevolent'!M12+'Income - Friday'!M12</f>
        <v>0</v>
      </c>
      <c r="M12" s="13">
        <f>'Income - General'!N12+'Income - Fabric'!N12+'Income - FlowerFund'!N12+'Income - SSchoolFund'!N12+'Income - Guild'!N12+'Income - Organ'!N12+'Income - SfSFund'!N11+'Income - Benevolent'!N12+'Income - Friday'!N12</f>
        <v>0</v>
      </c>
      <c r="N12" s="13">
        <f>SUM(B12:M12)</f>
        <v>1591.9499999999998</v>
      </c>
      <c r="O12" s="13"/>
      <c r="P12" s="13">
        <f t="shared" si="1"/>
        <v>1591.9499999999998</v>
      </c>
      <c r="Q12" s="13"/>
      <c r="R12" s="13"/>
      <c r="S12" s="13"/>
      <c r="T12" s="13"/>
      <c r="U12" s="13"/>
      <c r="V12" s="13"/>
      <c r="W12" s="13">
        <f t="shared" si="2"/>
        <v>1591.9499999999998</v>
      </c>
      <c r="Y12" s="13">
        <f>SUMIF('Income - OverallBUD'!$C$4:$N$4,'Income - Overall'!$Y$2,'Income - OverallBUD'!$C12:$N12)</f>
        <v>0</v>
      </c>
      <c r="Z12" s="13">
        <f t="shared" si="3"/>
        <v>1591.9499999999998</v>
      </c>
      <c r="AB12" s="13">
        <f ca="1">SUMIF('Income - OverallPY'!$B$4:$N$4,'Income - Overall'!$AB$2,'Income - OverallPY'!$B12:$M12)</f>
        <v>1570</v>
      </c>
      <c r="AC12" s="13">
        <f t="shared" ca="1" si="4"/>
        <v>21.949999999999818</v>
      </c>
      <c r="AD12" s="124">
        <f t="shared" ca="1" si="5"/>
        <v>1.3980891719745037E-2</v>
      </c>
    </row>
    <row r="13" spans="1:30">
      <c r="A13" s="15" t="s">
        <v>50</v>
      </c>
      <c r="B13" s="13">
        <f>'Income - General'!C13+'Income - Fabric'!C13+'Income - FlowerFund'!C13+'Income - SSchoolFund'!C13+'Income - Guild'!C13+'Income - Organ'!C13+'Income - SfSFund'!C13+'Income - Benevolent'!C13+'Income - Friday'!C13</f>
        <v>0</v>
      </c>
      <c r="C13" s="13">
        <f>'Income - General'!D13+'Income - Fabric'!D13+'Income - FlowerFund'!D13+'Income - SSchoolFund'!D13+'Income - Guild'!D13+'Income - Organ'!D13+'Income - SfSFund'!D13+'Income - Benevolent'!D13+'Income - Friday'!D13</f>
        <v>0</v>
      </c>
      <c r="D13" s="13">
        <f>'Income - General'!E13+'Income - Fabric'!E13+'Income - FlowerFund'!E13+'Income - SSchoolFund'!E13+'Income - Guild'!E13+'Income - Organ'!E13+'Income - SfSFund'!E13+'Income - Benevolent'!E13+'Income - Friday'!E13</f>
        <v>0</v>
      </c>
      <c r="E13" s="13">
        <f>'Income - General'!F13+'Income - Fabric'!F13+'Income - FlowerFund'!F13+'Income - SSchoolFund'!F13+'Income - Guild'!F13+'Income - Organ'!F13+'Income - SfSFund'!F13+'Income - Benevolent'!F13+'Income - Friday'!F13</f>
        <v>0</v>
      </c>
      <c r="F13" s="13">
        <f>'Income - General'!G13+'Income - Fabric'!G13+'Income - FlowerFund'!G13+'Income - SSchoolFund'!G13+'Income - Guild'!G13+'Income - Organ'!G13+'Income - SfSFund'!G13+'Income - Benevolent'!G13+'Income - Friday'!G13</f>
        <v>0</v>
      </c>
      <c r="G13" s="13">
        <f>'Income - General'!H13+'Income - Fabric'!H13+'Income - FlowerFund'!H13+'Income - SSchoolFund'!H13+'Income - Guild'!H13+'Income - Organ'!H13+'Income - SfSFund'!H13+'Income - Benevolent'!H13+'Income - Friday'!H13</f>
        <v>0</v>
      </c>
      <c r="H13" s="13">
        <f>'Income - General'!I13+'Income - Fabric'!I13+'Income - FlowerFund'!I13+'Income - SSchoolFund'!I13+'Income - Guild'!I13+'Income - Organ'!I13+'Income - SfSFund'!I13+'Income - Benevolent'!I13+'Income - Friday'!I13</f>
        <v>0</v>
      </c>
      <c r="I13" s="13">
        <f>'Income - General'!J13+'Income - Fabric'!J13+'Income - FlowerFund'!J13+'Income - SSchoolFund'!J13+'Income - Guild'!J13+'Income - Organ'!J13+'Income - SfSFund'!J13+'Income - Benevolent'!J13+'Income - Friday'!J13</f>
        <v>0</v>
      </c>
      <c r="J13" s="13">
        <f>'Income - General'!K13+'Income - Fabric'!K13+'Income - FlowerFund'!K13+'Income - SSchoolFund'!K13+'Income - Guild'!K13+'Income - Organ'!K13+'Income - SfSFund'!K13+'Income - Benevolent'!K13+'Income - Friday'!K13</f>
        <v>0</v>
      </c>
      <c r="K13" s="13">
        <f>'Income - General'!L13+'Income - Fabric'!L13+'Income - FlowerFund'!L13+'Income - SSchoolFund'!L13+'Income - Guild'!L13+'Income - Organ'!L13+'Income - SfSFund'!L13+'Income - Benevolent'!L13+'Income - Friday'!L13</f>
        <v>0</v>
      </c>
      <c r="L13" s="13">
        <f>'Income - General'!M13+'Income - Fabric'!M13+'Income - FlowerFund'!M13+'Income - SSchoolFund'!M13+'Income - Guild'!M13+'Income - Organ'!M13+'Income - SfSFund'!M13+'Income - Benevolent'!M13+'Income - Friday'!M13</f>
        <v>0</v>
      </c>
      <c r="M13" s="13">
        <f>'Income - General'!N13+'Income - Fabric'!N13+'Income - FlowerFund'!N13+'Income - SSchoolFund'!N13+'Income - Guild'!N13+'Income - Organ'!N13+'Income - SfSFund'!N13+'Income - Benevolent'!N13+'Income - Friday'!N13</f>
        <v>0</v>
      </c>
      <c r="N13" s="13">
        <f t="shared" si="0"/>
        <v>0</v>
      </c>
      <c r="O13" s="13"/>
      <c r="P13" s="13">
        <f t="shared" si="1"/>
        <v>0</v>
      </c>
      <c r="Q13" s="13"/>
      <c r="R13" s="13"/>
      <c r="S13" s="13"/>
      <c r="T13" s="13"/>
      <c r="U13" s="13"/>
      <c r="V13" s="13"/>
      <c r="W13" s="13">
        <f t="shared" si="2"/>
        <v>0</v>
      </c>
      <c r="Y13" s="13">
        <f>SUMIF('Income - OverallBUD'!$C$4:$N$4,'Income - Overall'!$Y$2,'Income - OverallBUD'!$C13:$N13)</f>
        <v>450</v>
      </c>
      <c r="Z13" s="13">
        <f t="shared" si="3"/>
        <v>-450</v>
      </c>
      <c r="AB13" s="13">
        <f ca="1">SUMIF('Income - OverallPY'!$B$4:$N$4,'Income - Overall'!$AB$2,'Income - OverallPY'!$B13:$M13)</f>
        <v>1525</v>
      </c>
      <c r="AC13" s="13">
        <f t="shared" ca="1" si="4"/>
        <v>-1525</v>
      </c>
      <c r="AD13" s="124">
        <f t="shared" ca="1" si="5"/>
        <v>-1</v>
      </c>
    </row>
    <row r="14" spans="1:30">
      <c r="A14" s="15" t="s">
        <v>51</v>
      </c>
      <c r="B14" s="13">
        <f>'Income - General'!C14+'Income - Fabric'!C14+'Income - FlowerFund'!C14+'Income - SSchoolFund'!C14+'Income - Guild'!C14+'Income - Organ'!C14+'Income - SfSFund'!C14+'Income - Benevolent'!C14+'Income - Friday'!C14</f>
        <v>469.66</v>
      </c>
      <c r="C14" s="13">
        <f>'Income - General'!D14+'Income - Fabric'!D14+'Income - FlowerFund'!D14+'Income - SSchoolFund'!D14+'Income - Guild'!D14+'Income - Organ'!D14+'Income - SfSFund'!D14+'Income - Benevolent'!D14+'Income - Friday'!D14</f>
        <v>597.41</v>
      </c>
      <c r="D14" s="13">
        <f>'Income - General'!E14+'Income - Fabric'!E14+'Income - FlowerFund'!E14+'Income - SSchoolFund'!E14+'Income - Guild'!E14+'Income - Organ'!E14+'Income - SfSFund'!E14+'Income - Benevolent'!E14+'Income - Friday'!E14</f>
        <v>300.5</v>
      </c>
      <c r="E14" s="13">
        <f>'Income - General'!F14+'Income - Fabric'!F14+'Income - FlowerFund'!F14+'Income - SSchoolFund'!F14+'Income - Guild'!F14+'Income - Organ'!F14+'Income - SfSFund'!F14+'Income - Benevolent'!F14+'Income - Friday'!F14</f>
        <v>579.59</v>
      </c>
      <c r="F14" s="13">
        <f>'Income - General'!G14+'Income - Fabric'!G14+'Income - FlowerFund'!G14+'Income - SSchoolFund'!G14+'Income - Guild'!G14+'Income - Organ'!G14+'Income - SfSFund'!G14+'Income - Benevolent'!G14+'Income - Friday'!G14</f>
        <v>494.4</v>
      </c>
      <c r="G14" s="13">
        <f>'Income - General'!H14+'Income - Fabric'!H14+'Income - FlowerFund'!H14+'Income - SSchoolFund'!H14+'Income - Guild'!H14+'Income - Organ'!H14+'Income - SfSFund'!H14+'Income - Benevolent'!H14+'Income - Friday'!H14</f>
        <v>0</v>
      </c>
      <c r="H14" s="13">
        <f>'Income - General'!I14+'Income - Fabric'!I14+'Income - FlowerFund'!I14+'Income - SSchoolFund'!I14+'Income - Guild'!I14+'Income - Organ'!I14+'Income - SfSFund'!I14+'Income - Benevolent'!I14+'Income - Friday'!I14</f>
        <v>0</v>
      </c>
      <c r="I14" s="13">
        <f>'Income - General'!J14+'Income - Fabric'!J14+'Income - FlowerFund'!J14+'Income - SSchoolFund'!J14+'Income - Guild'!J14+'Income - Organ'!J14+'Income - SfSFund'!J14+'Income - Benevolent'!J14+'Income - Friday'!J14</f>
        <v>0</v>
      </c>
      <c r="J14" s="13">
        <f>'Income - General'!K14+'Income - Fabric'!K14+'Income - FlowerFund'!K14+'Income - SSchoolFund'!K14+'Income - Guild'!K14+'Income - Organ'!K14+'Income - SfSFund'!K14+'Income - Benevolent'!K14+'Income - Friday'!K14</f>
        <v>0</v>
      </c>
      <c r="K14" s="13">
        <f>'Income - General'!L14+'Income - Fabric'!L14+'Income - FlowerFund'!L14+'Income - SSchoolFund'!L14+'Income - Guild'!L14+'Income - Organ'!L14+'Income - SfSFund'!L14+'Income - Benevolent'!L14+'Income - Friday'!L14</f>
        <v>0</v>
      </c>
      <c r="L14" s="13">
        <f>'Income - General'!M14+'Income - Fabric'!M14+'Income - FlowerFund'!M14+'Income - SSchoolFund'!M14+'Income - Guild'!M14+'Income - Organ'!M14+'Income - SfSFund'!M14+'Income - Benevolent'!M14+'Income - Friday'!M14</f>
        <v>0</v>
      </c>
      <c r="M14" s="13">
        <f>'Income - General'!N14+'Income - Fabric'!N14+'Income - FlowerFund'!N14+'Income - SSchoolFund'!N14+'Income - Guild'!N14+'Income - Organ'!N14+'Income - SfSFund'!N14+'Income - Benevolent'!N14+'Income - Friday'!N14</f>
        <v>0</v>
      </c>
      <c r="N14" s="13">
        <f t="shared" si="0"/>
        <v>2441.56</v>
      </c>
      <c r="O14" s="13"/>
      <c r="P14" s="13">
        <f t="shared" si="1"/>
        <v>2441.56</v>
      </c>
      <c r="Q14" s="13"/>
      <c r="R14" s="13"/>
      <c r="S14" s="13"/>
      <c r="T14" s="13"/>
      <c r="U14" s="13"/>
      <c r="V14" s="13"/>
      <c r="W14" s="13">
        <f t="shared" si="2"/>
        <v>2441.56</v>
      </c>
      <c r="Y14" s="13">
        <f>SUMIF('Income - OverallBUD'!$C$4:$N$4,'Income - Overall'!$Y$2,'Income - OverallBUD'!$C14:$N14)</f>
        <v>2875</v>
      </c>
      <c r="Z14" s="13">
        <f t="shared" si="3"/>
        <v>-433.44000000000005</v>
      </c>
      <c r="AB14" s="13">
        <f ca="1">SUMIF('Income - OverallPY'!$B$4:$N$4,'Income - Overall'!$AB$2,'Income - OverallPY'!$B14:$M14)</f>
        <v>2342.44</v>
      </c>
      <c r="AC14" s="13">
        <f t="shared" ca="1" si="4"/>
        <v>99.119999999999891</v>
      </c>
      <c r="AD14" s="124">
        <f t="shared" ca="1" si="5"/>
        <v>4.2314851180820012E-2</v>
      </c>
    </row>
    <row r="15" spans="1:30">
      <c r="A15" s="15" t="s">
        <v>52</v>
      </c>
      <c r="B15" s="36">
        <f>'Income - General'!C15+'Income - Fabric'!C15+'Income - FlowerFund'!C15+'Income - SSchoolFund'!C15+'Income - Guild'!C15+'Income - Organ'!C15+'Income - SfSFund'!C15+'Income - Benevolent'!C15+'Income - Friday'!C15</f>
        <v>0</v>
      </c>
      <c r="C15" s="36">
        <f>'Income - General'!D15+'Income - Fabric'!D15+'Income - FlowerFund'!D15+'Income - SSchoolFund'!D15+'Income - Guild'!D15+'Income - Organ'!D15+'Income - SfSFund'!D15+'Income - Benevolent'!D15+'Income - Friday'!D15</f>
        <v>0</v>
      </c>
      <c r="D15" s="36">
        <f>'Income - General'!E15+'Income - Fabric'!E15+'Income - FlowerFund'!E15+'Income - SSchoolFund'!E15+'Income - Guild'!E15+'Income - Organ'!E15+'Income - SfSFund'!E15+'Income - Benevolent'!E15+'Income - Friday'!E15</f>
        <v>0</v>
      </c>
      <c r="E15" s="13">
        <f>'Income - General'!F15+'Income - Fabric'!F15+'Income - FlowerFund'!F15+'Income - SSchoolFund'!F15+'Income - Guild'!F15+'Income - Organ'!F15+'Income - SfSFund'!F15+'Income - Benevolent'!F15+'Income - Friday'!F15</f>
        <v>118.73</v>
      </c>
      <c r="F15" s="13">
        <f>'Income - General'!G15+'Income - Fabric'!G15+'Income - FlowerFund'!G15+'Income - SSchoolFund'!G15+'Income - Guild'!G15+'Income - Organ'!G15+'Income - SfSFund'!G15+'Income - Benevolent'!G15+'Income - Friday'!G15</f>
        <v>3034.41</v>
      </c>
      <c r="G15" s="13">
        <f>'Income - General'!H15+'Income - Fabric'!H15+'Income - FlowerFund'!H15+'Income - SSchoolFund'!H15+'Income - Guild'!H15+'Income - Organ'!H15+'Income - SfSFund'!H15+'Income - Benevolent'!H15+'Income - Friday'!H15</f>
        <v>0</v>
      </c>
      <c r="H15" s="13">
        <f>'Income - General'!I15+'Income - Fabric'!I15+'Income - FlowerFund'!I15+'Income - SSchoolFund'!I15+'Income - Guild'!I15+'Income - Organ'!I15+'Income - SfSFund'!I15+'Income - Benevolent'!I15+'Income - Friday'!I15</f>
        <v>0</v>
      </c>
      <c r="I15" s="13">
        <f>'Income - General'!J15+'Income - Fabric'!J15+'Income - FlowerFund'!J15+'Income - SSchoolFund'!J15+'Income - Guild'!J15+'Income - Organ'!J15+'Income - SfSFund'!J15+'Income - Benevolent'!J15+'Income - Friday'!J15</f>
        <v>0</v>
      </c>
      <c r="J15" s="13">
        <f>'Income - General'!K15+'Income - Fabric'!K15+'Income - FlowerFund'!K15+'Income - SSchoolFund'!K15+'Income - Guild'!K15+'Income - Organ'!K15+'Income - SfSFund'!K15+'Income - Benevolent'!K15+'Income - Friday'!K15</f>
        <v>0</v>
      </c>
      <c r="K15" s="13">
        <f>'Income - General'!L15+'Income - Fabric'!L15+'Income - FlowerFund'!L15+'Income - SSchoolFund'!L15+'Income - Guild'!L15+'Income - Organ'!L15+'Income - SfSFund'!L15+'Income - Benevolent'!L15+'Income - Friday'!L15</f>
        <v>0</v>
      </c>
      <c r="L15" s="13">
        <f>'Income - General'!M15+'Income - Fabric'!M15+'Income - FlowerFund'!M15+'Income - SSchoolFund'!M15+'Income - Guild'!M15+'Income - Organ'!M15+'Income - SfSFund'!M15+'Income - Benevolent'!M15+'Income - Friday'!M15</f>
        <v>0</v>
      </c>
      <c r="M15" s="13">
        <f>'Income - General'!N15+'Income - Fabric'!N15+'Income - FlowerFund'!N15+'Income - SSchoolFund'!N15+'Income - Guild'!N15+'Income - Organ'!N15+'Income - SfSFund'!N15+'Income - Benevolent'!N15+'Income - Friday'!N15</f>
        <v>0</v>
      </c>
      <c r="N15" s="13">
        <f t="shared" si="0"/>
        <v>3153.14</v>
      </c>
      <c r="O15" s="13"/>
      <c r="P15" s="13">
        <f t="shared" si="1"/>
        <v>3153.14</v>
      </c>
      <c r="Q15" s="13"/>
      <c r="R15" s="13"/>
      <c r="S15" s="13"/>
      <c r="T15" s="13"/>
      <c r="U15" s="13"/>
      <c r="V15" s="13"/>
      <c r="W15" s="13">
        <f t="shared" si="2"/>
        <v>3153.14</v>
      </c>
      <c r="Y15" s="13">
        <f>SUMIF('Income - OverallBUD'!$C$4:$N$4,'Income - Overall'!$Y$2,'Income - OverallBUD'!$C15:$N15)</f>
        <v>1750</v>
      </c>
      <c r="Z15" s="13">
        <f t="shared" si="3"/>
        <v>1403.1399999999999</v>
      </c>
      <c r="AB15" s="13">
        <f ca="1">SUMIF('Income - OverallPY'!$B$4:$N$4,'Income - Overall'!$AB$2,'Income - OverallPY'!$B15:$M15)</f>
        <v>3577.8199999999997</v>
      </c>
      <c r="AC15" s="13">
        <f t="shared" ca="1" si="4"/>
        <v>-424.67999999999984</v>
      </c>
      <c r="AD15" s="124">
        <f t="shared" ca="1" si="5"/>
        <v>-0.11869797809839511</v>
      </c>
    </row>
    <row r="16" spans="1:30">
      <c r="A16" s="7" t="s">
        <v>53</v>
      </c>
      <c r="B16" s="26">
        <f t="shared" ref="B16:AC16" si="6">SUM(B10:B15)</f>
        <v>7315.28</v>
      </c>
      <c r="C16" s="26">
        <f t="shared" si="6"/>
        <v>7676.94</v>
      </c>
      <c r="D16" s="26">
        <f t="shared" si="6"/>
        <v>7685.3</v>
      </c>
      <c r="E16" s="26">
        <f t="shared" si="6"/>
        <v>7333.32</v>
      </c>
      <c r="F16" s="26">
        <f t="shared" si="6"/>
        <v>11259.22</v>
      </c>
      <c r="G16" s="26">
        <f t="shared" si="6"/>
        <v>0</v>
      </c>
      <c r="H16" s="26">
        <f t="shared" si="6"/>
        <v>0</v>
      </c>
      <c r="I16" s="26">
        <f t="shared" si="6"/>
        <v>0</v>
      </c>
      <c r="J16" s="26">
        <f t="shared" si="6"/>
        <v>0</v>
      </c>
      <c r="K16" s="26">
        <f t="shared" si="6"/>
        <v>0</v>
      </c>
      <c r="L16" s="26">
        <f t="shared" si="6"/>
        <v>0</v>
      </c>
      <c r="M16" s="26">
        <f t="shared" si="6"/>
        <v>0</v>
      </c>
      <c r="N16" s="26">
        <f t="shared" si="6"/>
        <v>41270.06</v>
      </c>
      <c r="O16" s="26">
        <f t="shared" si="6"/>
        <v>0</v>
      </c>
      <c r="P16" s="26">
        <f t="shared" si="6"/>
        <v>41270.06</v>
      </c>
      <c r="Q16" s="26">
        <f t="shared" si="6"/>
        <v>0</v>
      </c>
      <c r="R16" s="26">
        <f t="shared" si="6"/>
        <v>0</v>
      </c>
      <c r="S16" s="26">
        <f t="shared" si="6"/>
        <v>0</v>
      </c>
      <c r="T16" s="26">
        <f>SUM(T10:T15)</f>
        <v>0</v>
      </c>
      <c r="U16" s="26">
        <f>SUM(U10:U15)</f>
        <v>0</v>
      </c>
      <c r="V16" s="26">
        <f t="shared" si="6"/>
        <v>0</v>
      </c>
      <c r="W16" s="26">
        <f t="shared" si="6"/>
        <v>41270.06</v>
      </c>
      <c r="Y16" s="26">
        <f t="shared" si="6"/>
        <v>33825</v>
      </c>
      <c r="Z16" s="26">
        <f t="shared" si="6"/>
        <v>7445.0599999999995</v>
      </c>
      <c r="AB16" s="26">
        <f t="shared" ca="1" si="6"/>
        <v>42366.020000000004</v>
      </c>
      <c r="AC16" s="26">
        <f t="shared" ca="1" si="6"/>
        <v>-1095.9600000000023</v>
      </c>
      <c r="AD16" s="135">
        <f t="shared" ca="1" si="5"/>
        <v>-2.5868844890315601E-2</v>
      </c>
    </row>
    <row r="17" spans="1:32">
      <c r="A17" s="7"/>
      <c r="B17" s="30"/>
      <c r="C17" s="30"/>
      <c r="D17" s="30"/>
      <c r="E17" s="30"/>
      <c r="F17" s="30"/>
      <c r="G17" s="30"/>
      <c r="H17" s="30"/>
      <c r="I17" s="30"/>
      <c r="J17" s="30"/>
      <c r="K17" s="30"/>
      <c r="L17" s="30"/>
      <c r="M17" s="30"/>
      <c r="N17" s="30"/>
      <c r="O17" s="30"/>
      <c r="P17" s="30"/>
      <c r="Q17" s="30"/>
      <c r="R17" s="30"/>
      <c r="S17" s="30"/>
      <c r="T17" s="30"/>
      <c r="U17" s="30"/>
      <c r="V17" s="30"/>
      <c r="W17" s="30"/>
      <c r="Y17" s="30"/>
      <c r="Z17" s="30"/>
      <c r="AB17" s="30"/>
      <c r="AC17" s="30"/>
      <c r="AD17" s="137"/>
    </row>
    <row r="18" spans="1:32">
      <c r="A18" s="7" t="s">
        <v>54</v>
      </c>
      <c r="B18" s="30"/>
      <c r="C18" s="30"/>
      <c r="D18" s="30"/>
      <c r="E18" s="30"/>
      <c r="F18" s="30"/>
      <c r="G18" s="30"/>
      <c r="H18" s="30"/>
      <c r="I18" s="30"/>
      <c r="J18" s="30"/>
      <c r="K18" s="30"/>
      <c r="L18" s="30"/>
      <c r="M18" s="30"/>
      <c r="N18" s="30"/>
      <c r="O18" s="30"/>
      <c r="P18" s="30"/>
      <c r="Q18" s="30"/>
      <c r="R18" s="30"/>
      <c r="S18" s="30"/>
      <c r="T18" s="30"/>
      <c r="U18" s="30"/>
      <c r="V18" s="30"/>
      <c r="W18" s="30"/>
      <c r="Y18" s="30"/>
      <c r="Z18" s="30"/>
      <c r="AB18" s="30"/>
      <c r="AC18" s="30"/>
      <c r="AD18" s="137"/>
    </row>
    <row r="19" spans="1:32">
      <c r="A19" s="15" t="s">
        <v>47</v>
      </c>
      <c r="B19" s="13">
        <f>'Income - General'!C19+'Income - Fabric'!C19+'Income - FlowerFund'!C19+'Income - SSchoolFund'!C19+'Income - Guild'!C19+'Income - Organ'!C19+'Income - SfSFund'!C19+'Income - Benevolent'!C19+'Income - Friday'!C19</f>
        <v>1918</v>
      </c>
      <c r="C19" s="13">
        <f>'Income - General'!D19+'Income - Fabric'!D19+'Income - FlowerFund'!D19+'Income - SSchoolFund'!D19+'Income - Guild'!D19+'Income - Organ'!D19+'Income - SfSFund'!D19+'Income - Benevolent'!D19+'Income - Friday'!D19</f>
        <v>2291.7199999999998</v>
      </c>
      <c r="D19" s="13">
        <f>'Income - General'!E19+'Income - Fabric'!E19+'Income - FlowerFund'!E19+'Income - SSchoolFund'!E19+'Income - Guild'!E19+'Income - Organ'!E19+'Income - SfSFund'!E19+'Income - Benevolent'!E19+'Income - Friday'!E19</f>
        <v>1628</v>
      </c>
      <c r="E19" s="13">
        <f>'Income - General'!F19+'Income - Fabric'!F19+'Income - FlowerFund'!F19+'Income - SSchoolFund'!F19+'Income - Guild'!F19+'Income - Organ'!F19+'Income - SfSFund'!F19+'Income - Benevolent'!F19+'Income - Friday'!F19</f>
        <v>2303</v>
      </c>
      <c r="F19" s="13">
        <f>'Income - General'!G19+'Income - Fabric'!G19+'Income - FlowerFund'!G19+'Income - SSchoolFund'!G19+'Income - Guild'!G19+'Income - Organ'!G19+'Income - SfSFund'!G19+'Income - Benevolent'!G19+'Income - Friday'!G19</f>
        <v>1283</v>
      </c>
      <c r="G19" s="13">
        <f>'Income - General'!H19+'Income - Fabric'!H19+'Income - FlowerFund'!H19+'Income - SSchoolFund'!H19+'Income - Guild'!H19+'Income - Organ'!H19+'Income - SfSFund'!H19+'Income - Benevolent'!H19+'Income - Friday'!H19</f>
        <v>0</v>
      </c>
      <c r="H19" s="13">
        <f>'Income - General'!I19+'Income - Fabric'!I19+'Income - FlowerFund'!I19+'Income - SSchoolFund'!I19+'Income - Guild'!I19+'Income - Organ'!I19+'Income - SfSFund'!I19+'Income - Benevolent'!I19+'Income - Friday'!I19</f>
        <v>0</v>
      </c>
      <c r="I19" s="13">
        <f>'Income - General'!J19+'Income - Fabric'!J19+'Income - FlowerFund'!J19+'Income - SSchoolFund'!J19+'Income - Guild'!J19+'Income - Organ'!J19+'Income - SfSFund'!J19+'Income - Benevolent'!J19+'Income - Friday'!J19</f>
        <v>0</v>
      </c>
      <c r="J19" s="13">
        <f>'Income - General'!K19+'Income - Fabric'!K19+'Income - FlowerFund'!K19+'Income - SSchoolFund'!K19+'Income - Guild'!K19+'Income - Organ'!K19+'Income - SfSFund'!K19+'Income - Benevolent'!K19+'Income - Friday'!K19</f>
        <v>0</v>
      </c>
      <c r="K19" s="13">
        <f>'Income - General'!L19+'Income - Fabric'!L19+'Income - FlowerFund'!L19+'Income - SSchoolFund'!L19+'Income - Guild'!L19+'Income - Organ'!L19+'Income - SfSFund'!L19+'Income - Benevolent'!L19+'Income - Friday'!L19</f>
        <v>0</v>
      </c>
      <c r="L19" s="13">
        <f>'Income - General'!M19+'Income - Fabric'!M19+'Income - FlowerFund'!M19+'Income - SSchoolFund'!M19+'Income - Guild'!M19+'Income - Organ'!M19+'Income - SfSFund'!M19+'Income - Benevolent'!M19+'Income - Friday'!M19</f>
        <v>0</v>
      </c>
      <c r="M19" s="13">
        <f>'Income - General'!N19+'Income - Fabric'!N19+'Income - FlowerFund'!N19+'Income - SSchoolFund'!N19+'Income - Guild'!N19+'Income - Organ'!N19+'Income - SfSFund'!N19+'Income - Benevolent'!N19+'Income - Friday'!N19</f>
        <v>0</v>
      </c>
      <c r="N19" s="13">
        <f>SUM(B19:M19)</f>
        <v>9423.7199999999993</v>
      </c>
      <c r="O19" s="13"/>
      <c r="P19" s="13">
        <f>N19-O19</f>
        <v>9423.7199999999993</v>
      </c>
      <c r="Q19" s="13"/>
      <c r="R19" s="13"/>
      <c r="S19" s="13"/>
      <c r="T19" s="13"/>
      <c r="U19" s="13"/>
      <c r="V19" s="13"/>
      <c r="W19" s="13">
        <f>SUM(P19:V19)</f>
        <v>9423.7199999999993</v>
      </c>
      <c r="Y19" s="13">
        <f>SUMIF('Income - OverallBUD'!$C$4:$N$4,'Income - Overall'!$Y$2,'Income - OverallBUD'!$C19:$N19)</f>
        <v>15250</v>
      </c>
      <c r="Z19" s="13">
        <f>N19-Y19</f>
        <v>-5826.2800000000007</v>
      </c>
      <c r="AB19" s="13">
        <f ca="1">SUMIF('Income - OverallPY'!$B$4:$N$4,'Income - Overall'!$AB$2,'Income - OverallPY'!$B19:$M19)</f>
        <v>7515</v>
      </c>
      <c r="AC19" s="13">
        <f ca="1">N19-AB19</f>
        <v>1908.7199999999993</v>
      </c>
      <c r="AD19" s="124">
        <f ca="1">IF(ISERROR((N19/AB19)-1),"-",(N19/AB19)-1)</f>
        <v>0.25398802395209574</v>
      </c>
    </row>
    <row r="20" spans="1:32">
      <c r="A20" s="15" t="s">
        <v>48</v>
      </c>
      <c r="B20" s="13">
        <f>'Income - General'!C20+'Income - Fabric'!C20+'Income - FlowerFund'!C20+'Income - SSchoolFund'!C20+'Income - Guild'!C20+'Income - Organ'!C20+'Income - SfSFund'!C20+'Income - Benevolent'!C20+'Income - Friday'!C20</f>
        <v>530.30999999999995</v>
      </c>
      <c r="C20" s="13">
        <f>'Income - General'!D20+'Income - Fabric'!D20+'Income - FlowerFund'!D20+'Income - SSchoolFund'!D20+'Income - Guild'!D20+'Income - Organ'!D20+'Income - SfSFund'!D20+'Income - Benevolent'!D20+'Income - Friday'!D20</f>
        <v>224.31</v>
      </c>
      <c r="D20" s="13">
        <f>'Income - General'!E20+'Income - Fabric'!E20+'Income - FlowerFund'!E20+'Income - SSchoolFund'!E20+'Income - Guild'!E20+'Income - Organ'!E20+'Income - SfSFund'!E20+'Income - Benevolent'!E20+'Income - Friday'!E20</f>
        <v>924.31</v>
      </c>
      <c r="E20" s="13">
        <f>'Income - General'!F20+'Income - Fabric'!F20+'Income - FlowerFund'!F20+'Income - SSchoolFund'!F20+'Income - Guild'!F20+'Income - Organ'!F20+'Income - SfSFund'!F20+'Income - Benevolent'!F20+'Income - Friday'!F20</f>
        <v>524.30999999999995</v>
      </c>
      <c r="F20" s="13">
        <f>'Income - General'!G20+'Income - Fabric'!G20+'Income - FlowerFund'!G20+'Income - SSchoolFund'!G20+'Income - Guild'!G20+'Income - Organ'!G20+'Income - SfSFund'!G20+'Income - Benevolent'!G20+'Income - Friday'!G20</f>
        <v>566.5</v>
      </c>
      <c r="G20" s="13">
        <f>'Income - General'!H20+'Income - Fabric'!H20+'Income - FlowerFund'!H20+'Income - SSchoolFund'!H20+'Income - Guild'!H20+'Income - Organ'!H20+'Income - SfSFund'!H20+'Income - Benevolent'!H20+'Income - Friday'!H20</f>
        <v>0</v>
      </c>
      <c r="H20" s="13">
        <f>'Income - General'!I20+'Income - Fabric'!I20+'Income - FlowerFund'!I20+'Income - SSchoolFund'!I20+'Income - Guild'!I20+'Income - Organ'!I20+'Income - SfSFund'!I20+'Income - Benevolent'!I20+'Income - Friday'!I20</f>
        <v>0</v>
      </c>
      <c r="I20" s="13">
        <f>'Income - General'!J20+'Income - Fabric'!J20+'Income - FlowerFund'!J20+'Income - SSchoolFund'!J20+'Income - Guild'!J20+'Income - Organ'!J20+'Income - SfSFund'!J20+'Income - Benevolent'!J20+'Income - Friday'!J20</f>
        <v>0</v>
      </c>
      <c r="J20" s="13">
        <f>'Income - General'!K20+'Income - Fabric'!K20+'Income - FlowerFund'!K20+'Income - SSchoolFund'!K20+'Income - Guild'!K20+'Income - Organ'!K20+'Income - SfSFund'!K20+'Income - Benevolent'!K20+'Income - Friday'!K20</f>
        <v>0</v>
      </c>
      <c r="K20" s="13">
        <f>'Income - General'!L20+'Income - Fabric'!L20+'Income - FlowerFund'!L20+'Income - SSchoolFund'!L20+'Income - Guild'!L20+'Income - Organ'!L20+'Income - SfSFund'!L20+'Income - Benevolent'!L20+'Income - Friday'!L20</f>
        <v>0</v>
      </c>
      <c r="L20" s="13">
        <f>'Income - General'!M20+'Income - Fabric'!M20+'Income - FlowerFund'!M20+'Income - SSchoolFund'!M20+'Income - Guild'!M20+'Income - Organ'!M20+'Income - SfSFund'!M20+'Income - Benevolent'!M20+'Income - Friday'!M20</f>
        <v>0</v>
      </c>
      <c r="M20" s="13">
        <f>'Income - General'!N20+'Income - Fabric'!N20+'Income - FlowerFund'!N20+'Income - SSchoolFund'!N20+'Income - Guild'!N20+'Income - Organ'!N20+'Income - SfSFund'!N20+'Income - Benevolent'!N20+'Income - Friday'!N20</f>
        <v>0</v>
      </c>
      <c r="N20" s="13">
        <f>SUM(B20:M20)</f>
        <v>2769.74</v>
      </c>
      <c r="O20" s="13"/>
      <c r="P20" s="13">
        <f>N20-O20</f>
        <v>2769.74</v>
      </c>
      <c r="Q20" s="13"/>
      <c r="R20" s="13"/>
      <c r="S20" s="13"/>
      <c r="T20" s="13"/>
      <c r="U20" s="13"/>
      <c r="V20" s="13"/>
      <c r="W20" s="13">
        <f>SUM(P20:V20)</f>
        <v>2769.74</v>
      </c>
      <c r="Y20" s="13">
        <f>SUMIF('Income - OverallBUD'!$C$4:$N$4,'Income - Overall'!$Y$2,'Income - OverallBUD'!$C20:$N20)</f>
        <v>2750</v>
      </c>
      <c r="Z20" s="13">
        <f>N20-Y20</f>
        <v>19.739999999999782</v>
      </c>
      <c r="AB20" s="13">
        <f ca="1">SUMIF('Income - OverallPY'!$B$4:$N$4,'Income - Overall'!$AB$2,'Income - OverallPY'!$B20:$M20)</f>
        <v>2604.5</v>
      </c>
      <c r="AC20" s="13">
        <f ca="1">N20-AB20</f>
        <v>165.23999999999978</v>
      </c>
      <c r="AD20" s="124">
        <f ca="1">IF(ISERROR((N20/AB20)-1),"-",(N20/AB20)-1)</f>
        <v>6.3444039162987131E-2</v>
      </c>
      <c r="AF20" s="175"/>
    </row>
    <row r="21" spans="1:32">
      <c r="A21" s="15" t="s">
        <v>49</v>
      </c>
      <c r="B21" s="13">
        <f>'Income - General'!C21+'Income - Fabric'!C21+'Income - FlowerFund'!C21+'Income - SSchoolFund'!C21+'Income - Guild'!C21+'Income - Organ'!C21+'Income - SfSFund'!C21+'Income - Benevolent'!C21+'Income - Friday'!C21</f>
        <v>0</v>
      </c>
      <c r="C21" s="13">
        <f>'Income - General'!D21+'Income - Fabric'!D21+'Income - FlowerFund'!D21+'Income - SSchoolFund'!D21+'Income - Guild'!D21+'Income - Organ'!D21+'Income - SfSFund'!D21+'Income - Benevolent'!D21+'Income - Friday'!D21</f>
        <v>0</v>
      </c>
      <c r="D21" s="13">
        <f>'Income - General'!E21+'Income - Fabric'!E21+'Income - FlowerFund'!E21+'Income - SSchoolFund'!E21+'Income - Guild'!E21+'Income - Organ'!E21+'Income - SfSFund'!E21+'Income - Benevolent'!E21+'Income - Friday'!E21</f>
        <v>0</v>
      </c>
      <c r="E21" s="13">
        <f>'Income - General'!F21+'Income - Fabric'!F21+'Income - FlowerFund'!F21+'Income - SSchoolFund'!F21+'Income - Guild'!F21+'Income - Organ'!F21+'Income - SfSFund'!F21+'Income - Benevolent'!F21+'Income - Friday'!F21</f>
        <v>0</v>
      </c>
      <c r="F21" s="13">
        <f>'Income - General'!G21+'Income - Fabric'!G21+'Income - FlowerFund'!G21+'Income - SSchoolFund'!G21+'Income - Guild'!G21+'Income - Organ'!G21+'Income - SfSFund'!G21+'Income - Benevolent'!G21+'Income - Friday'!G21</f>
        <v>0</v>
      </c>
      <c r="G21" s="13">
        <f>'Income - General'!H21+'Income - Fabric'!H21+'Income - FlowerFund'!H21+'Income - SSchoolFund'!H21+'Income - Guild'!H21+'Income - Organ'!H21+'Income - SfSFund'!H21+'Income - Benevolent'!H21+'Income - Friday'!H21</f>
        <v>0</v>
      </c>
      <c r="H21" s="13">
        <f>'Income - General'!I21+'Income - Fabric'!I21+'Income - FlowerFund'!I21+'Income - SSchoolFund'!I21+'Income - Guild'!I21+'Income - Organ'!I21+'Income - SfSFund'!I21+'Income - Benevolent'!I21+'Income - Friday'!I21</f>
        <v>0</v>
      </c>
      <c r="I21" s="13">
        <f>'Income - General'!J21+'Income - Fabric'!J21+'Income - FlowerFund'!J21+'Income - SSchoolFund'!J21+'Income - Guild'!J21+'Income - Organ'!J21+'Income - SfSFund'!J21+'Income - Benevolent'!J21+'Income - Friday'!J21</f>
        <v>0</v>
      </c>
      <c r="J21" s="13">
        <f>'Income - General'!K21+'Income - Fabric'!K21+'Income - FlowerFund'!K21+'Income - SSchoolFund'!K21+'Income - Guild'!K21+'Income - Organ'!K21+'Income - SfSFund'!K21+'Income - Benevolent'!K21+'Income - Friday'!K21</f>
        <v>0</v>
      </c>
      <c r="K21" s="13">
        <f>'Income - General'!L21+'Income - Fabric'!L21+'Income - FlowerFund'!L21+'Income - SSchoolFund'!L21+'Income - Guild'!L21+'Income - Organ'!L21+'Income - SfSFund'!L21+'Income - Benevolent'!L21+'Income - Friday'!L21</f>
        <v>0</v>
      </c>
      <c r="L21" s="13">
        <f>'Income - General'!M21+'Income - Fabric'!M21+'Income - FlowerFund'!M21+'Income - SSchoolFund'!M21+'Income - Guild'!M21+'Income - Organ'!M21+'Income - SfSFund'!M21+'Income - Benevolent'!M21+'Income - Friday'!M21</f>
        <v>0</v>
      </c>
      <c r="M21" s="13">
        <f>'Income - General'!N21+'Income - Fabric'!N21+'Income - FlowerFund'!N21+'Income - SSchoolFund'!N21+'Income - Guild'!N21+'Income - Organ'!N21+'Income - SfSFund'!N21+'Income - Benevolent'!N21+'Income - Friday'!N21</f>
        <v>0</v>
      </c>
      <c r="N21" s="13">
        <f>SUM(B21:M21)</f>
        <v>0</v>
      </c>
      <c r="O21" s="13"/>
      <c r="P21" s="13">
        <f>N21-O21</f>
        <v>0</v>
      </c>
      <c r="Q21" s="13"/>
      <c r="R21" s="13"/>
      <c r="S21" s="13"/>
      <c r="T21" s="13"/>
      <c r="U21" s="13"/>
      <c r="V21" s="13"/>
      <c r="W21" s="13">
        <f>SUM(P21:V21)</f>
        <v>0</v>
      </c>
      <c r="Y21" s="13">
        <f>SUMIF('Income - OverallBUD'!$C$4:$N$4,'Income - Overall'!$Y$2,'Income - OverallBUD'!$C21:$N21)</f>
        <v>0</v>
      </c>
      <c r="Z21" s="13">
        <f>N21-Y21</f>
        <v>0</v>
      </c>
      <c r="AB21" s="13">
        <f ca="1">SUMIF('Income - OverallPY'!$B$4:$N$4,'Income - Overall'!$AB$2,'Income - OverallPY'!$B21:$M21)</f>
        <v>1809.15</v>
      </c>
      <c r="AC21" s="13">
        <f ca="1">N21-AB21</f>
        <v>-1809.15</v>
      </c>
      <c r="AD21" s="124">
        <f ca="1">IF(ISERROR((N21/AB21)-1),"-",(N21/AB21)-1)</f>
        <v>-1</v>
      </c>
    </row>
    <row r="22" spans="1:32">
      <c r="A22" s="15" t="s">
        <v>50</v>
      </c>
      <c r="B22" s="13">
        <f>'Income - General'!C22+'Income - Fabric'!C22+'Income - FlowerFund'!C22+'Income - SSchoolFund'!C22+'Income - Guild'!C22+'Income - Organ'!C22+'Income - SfSFund'!C22+'Income - Benevolent'!C22+'Income - Friday'!C22</f>
        <v>0</v>
      </c>
      <c r="C22" s="13">
        <f>'Income - General'!D22+'Income - Fabric'!D22+'Income - FlowerFund'!D22+'Income - SSchoolFund'!D22+'Income - Guild'!D22+'Income - Organ'!D22+'Income - SfSFund'!D22+'Income - Benevolent'!D22+'Income - Friday'!D22</f>
        <v>0</v>
      </c>
      <c r="D22" s="13">
        <f>'Income - General'!E22+'Income - Fabric'!E22+'Income - FlowerFund'!E22+'Income - SSchoolFund'!E22+'Income - Guild'!E22+'Income - Organ'!E22+'Income - SfSFund'!E22+'Income - Benevolent'!E22+'Income - Friday'!E22</f>
        <v>0</v>
      </c>
      <c r="E22" s="13">
        <f>'Income - General'!F22+'Income - Fabric'!F22+'Income - FlowerFund'!F22+'Income - SSchoolFund'!F22+'Income - Guild'!F22+'Income - Organ'!F22+'Income - SfSFund'!F22+'Income - Benevolent'!F22+'Income - Friday'!F22</f>
        <v>0</v>
      </c>
      <c r="F22" s="13">
        <f>'Income - General'!G22+'Income - Fabric'!G22+'Income - FlowerFund'!G22+'Income - SSchoolFund'!G22+'Income - Guild'!G22+'Income - Organ'!G22+'Income - SfSFund'!G22+'Income - Benevolent'!G22+'Income - Friday'!G22</f>
        <v>0</v>
      </c>
      <c r="G22" s="13">
        <f>'Income - General'!H22+'Income - Fabric'!H22+'Income - FlowerFund'!H22+'Income - SSchoolFund'!H22+'Income - Guild'!H22+'Income - Organ'!H22+'Income - SfSFund'!H22+'Income - Benevolent'!H22+'Income - Friday'!H22</f>
        <v>0</v>
      </c>
      <c r="H22" s="13">
        <f>'Income - General'!I22+'Income - Fabric'!I22+'Income - FlowerFund'!I22+'Income - SSchoolFund'!I22+'Income - Guild'!I22+'Income - Organ'!I22+'Income - SfSFund'!I22+'Income - Benevolent'!I22+'Income - Friday'!I22</f>
        <v>0</v>
      </c>
      <c r="I22" s="13">
        <f>'Income - General'!J22+'Income - Fabric'!J22+'Income - FlowerFund'!J22+'Income - SSchoolFund'!J22+'Income - Guild'!J22+'Income - Organ'!J22+'Income - SfSFund'!J22+'Income - Benevolent'!J22+'Income - Friday'!J22</f>
        <v>0</v>
      </c>
      <c r="J22" s="13">
        <f>'Income - General'!K22+'Income - Fabric'!K22+'Income - FlowerFund'!K22+'Income - SSchoolFund'!K22+'Income - Guild'!K22+'Income - Organ'!K22+'Income - SfSFund'!K22+'Income - Benevolent'!K22+'Income - Friday'!K22</f>
        <v>0</v>
      </c>
      <c r="K22" s="13">
        <f>'Income - General'!L22+'Income - Fabric'!L22+'Income - FlowerFund'!L22+'Income - SSchoolFund'!L22+'Income - Guild'!L22+'Income - Organ'!L22+'Income - SfSFund'!L22+'Income - Benevolent'!L22+'Income - Friday'!L22</f>
        <v>0</v>
      </c>
      <c r="L22" s="13">
        <f>'Income - General'!M22+'Income - Fabric'!M22+'Income - FlowerFund'!M22+'Income - SSchoolFund'!M22+'Income - Guild'!M22+'Income - Organ'!M22+'Income - SfSFund'!M22+'Income - Benevolent'!M22+'Income - Friday'!M22</f>
        <v>0</v>
      </c>
      <c r="M22" s="13">
        <f>'Income - General'!N22+'Income - Fabric'!N22+'Income - FlowerFund'!N22+'Income - SSchoolFund'!N22+'Income - Guild'!N22+'Income - Organ'!N22+'Income - SfSFund'!N22+'Income - Benevolent'!N22+'Income - Friday'!N22</f>
        <v>0</v>
      </c>
      <c r="N22" s="13">
        <f>SUM(B22:M22)</f>
        <v>0</v>
      </c>
      <c r="O22" s="13"/>
      <c r="P22" s="13">
        <f>N22-O22</f>
        <v>0</v>
      </c>
      <c r="Q22" s="13"/>
      <c r="R22" s="13"/>
      <c r="S22" s="13"/>
      <c r="T22" s="13"/>
      <c r="U22" s="13"/>
      <c r="V22" s="13"/>
      <c r="W22" s="13">
        <f>SUM(P22:V22)</f>
        <v>0</v>
      </c>
      <c r="Y22" s="13">
        <f>SUMIF('Income - OverallBUD'!$C$4:$N$4,'Income - Overall'!$Y$2,'Income - OverallBUD'!$C22:$N22)</f>
        <v>75</v>
      </c>
      <c r="Z22" s="13">
        <f>N22-Y22</f>
        <v>-75</v>
      </c>
      <c r="AB22" s="13">
        <f ca="1">SUMIF('Income - OverallPY'!$B$4:$N$4,'Income - Overall'!$AB$2,'Income - OverallPY'!$B22:$M22)</f>
        <v>0</v>
      </c>
      <c r="AC22" s="13">
        <f ca="1">N22-AB22</f>
        <v>0</v>
      </c>
      <c r="AD22" s="124" t="str">
        <f ca="1">IF(ISERROR((N22/AB22)-1),"-",(N22/AB22)-1)</f>
        <v>-</v>
      </c>
    </row>
    <row r="23" spans="1:32">
      <c r="A23" s="7" t="s">
        <v>55</v>
      </c>
      <c r="B23" s="26">
        <f>SUM(B19:B22)</f>
        <v>2448.31</v>
      </c>
      <c r="C23" s="26">
        <f t="shared" ref="C23:AC23" si="7">SUM(C19:C22)</f>
        <v>2516.0299999999997</v>
      </c>
      <c r="D23" s="26">
        <f t="shared" si="7"/>
        <v>2552.31</v>
      </c>
      <c r="E23" s="26">
        <f t="shared" si="7"/>
        <v>2827.31</v>
      </c>
      <c r="F23" s="26">
        <f t="shared" si="7"/>
        <v>1849.5</v>
      </c>
      <c r="G23" s="26">
        <f t="shared" si="7"/>
        <v>0</v>
      </c>
      <c r="H23" s="26">
        <f t="shared" si="7"/>
        <v>0</v>
      </c>
      <c r="I23" s="26">
        <f t="shared" si="7"/>
        <v>0</v>
      </c>
      <c r="J23" s="26">
        <f t="shared" si="7"/>
        <v>0</v>
      </c>
      <c r="K23" s="26">
        <f t="shared" si="7"/>
        <v>0</v>
      </c>
      <c r="L23" s="26">
        <f t="shared" si="7"/>
        <v>0</v>
      </c>
      <c r="M23" s="26">
        <f t="shared" si="7"/>
        <v>0</v>
      </c>
      <c r="N23" s="26">
        <f t="shared" si="7"/>
        <v>12193.46</v>
      </c>
      <c r="O23" s="26">
        <f t="shared" si="7"/>
        <v>0</v>
      </c>
      <c r="P23" s="26">
        <f t="shared" si="7"/>
        <v>12193.46</v>
      </c>
      <c r="Q23" s="26">
        <f t="shared" si="7"/>
        <v>0</v>
      </c>
      <c r="R23" s="26">
        <f t="shared" si="7"/>
        <v>0</v>
      </c>
      <c r="S23" s="26">
        <f t="shared" si="7"/>
        <v>0</v>
      </c>
      <c r="T23" s="26">
        <f>SUM(T19:T22)</f>
        <v>0</v>
      </c>
      <c r="U23" s="26">
        <f>SUM(U19:U22)</f>
        <v>0</v>
      </c>
      <c r="V23" s="26">
        <f t="shared" si="7"/>
        <v>0</v>
      </c>
      <c r="W23" s="26">
        <f t="shared" si="7"/>
        <v>12193.46</v>
      </c>
      <c r="Y23" s="26">
        <f t="shared" si="7"/>
        <v>18075</v>
      </c>
      <c r="Z23" s="26">
        <f t="shared" si="7"/>
        <v>-5881.5400000000009</v>
      </c>
      <c r="AB23" s="26">
        <f t="shared" ca="1" si="7"/>
        <v>11928.65</v>
      </c>
      <c r="AC23" s="26">
        <f t="shared" ca="1" si="7"/>
        <v>264.80999999999904</v>
      </c>
      <c r="AD23" s="135">
        <f ca="1">IF(ISERROR((N23/AB23)-1),"-",(N23/AB23)-1)</f>
        <v>2.2199494494347549E-2</v>
      </c>
    </row>
    <row r="24" spans="1:32">
      <c r="B24" s="13"/>
      <c r="C24" s="13"/>
      <c r="D24" s="13"/>
      <c r="E24" s="13"/>
      <c r="F24" s="13"/>
      <c r="G24" s="13"/>
      <c r="H24" s="13"/>
      <c r="I24" s="13"/>
      <c r="J24" s="13"/>
      <c r="K24" s="13"/>
      <c r="L24" s="13"/>
      <c r="M24" s="13"/>
      <c r="N24" s="13"/>
      <c r="O24" s="13"/>
      <c r="P24" s="13"/>
      <c r="Q24" s="13"/>
      <c r="R24" s="13"/>
      <c r="S24" s="13"/>
      <c r="T24" s="13"/>
      <c r="U24" s="13"/>
      <c r="V24" s="13"/>
      <c r="W24" s="13"/>
    </row>
    <row r="25" spans="1:32">
      <c r="A25" s="7" t="s">
        <v>56</v>
      </c>
      <c r="B25" s="13"/>
      <c r="C25" s="13"/>
      <c r="D25" s="13"/>
      <c r="E25" s="13"/>
      <c r="F25" s="13"/>
      <c r="G25" s="13"/>
      <c r="H25" s="13"/>
      <c r="I25" s="13"/>
      <c r="J25" s="13"/>
      <c r="K25" s="13"/>
      <c r="L25" s="13"/>
      <c r="M25" s="13"/>
      <c r="N25" s="13"/>
      <c r="O25" s="13"/>
      <c r="P25" s="13"/>
      <c r="Q25" s="13"/>
      <c r="R25" s="13"/>
      <c r="S25" s="13"/>
      <c r="T25" s="13"/>
      <c r="U25" s="13"/>
      <c r="V25" s="13"/>
      <c r="W25" s="13"/>
    </row>
    <row r="26" spans="1:32">
      <c r="A26" s="15" t="s">
        <v>57</v>
      </c>
      <c r="B26" s="13">
        <f>'Income - General'!C26+'Income - Fabric'!C26+'Income - FlowerFund'!C26+'Income - SSchoolFund'!C26+'Income - Guild'!C26+'Income - Organ'!C26+'Income - SfSFund'!C26+'Income - Benevolent'!C26+'Income - Friday'!C26</f>
        <v>0</v>
      </c>
      <c r="C26" s="13">
        <f>'Income - General'!D26+'Income - Fabric'!D26+'Income - FlowerFund'!D26+'Income - SSchoolFund'!D26+'Income - Guild'!D26+'Income - Organ'!D26+'Income - SfSFund'!D26+'Income - Benevolent'!D26+'Income - Friday'!D26</f>
        <v>0</v>
      </c>
      <c r="D26" s="13">
        <f>'Income - General'!E26+'Income - Fabric'!E26+'Income - FlowerFund'!E26+'Income - SSchoolFund'!E26+'Income - Guild'!E26+'Income - Organ'!E26+'Income - SfSFund'!E26+'Income - Benevolent'!E26+'Income - Friday'!E26</f>
        <v>7935.48</v>
      </c>
      <c r="E26" s="13">
        <f>'Income - General'!F26+'Income - Fabric'!F26+'Income - FlowerFund'!F26+'Income - SSchoolFund'!F26+'Income - Guild'!F26+'Income - Organ'!F26+'Income - SfSFund'!F26+'Income - Benevolent'!F26+'Income - Friday'!F26</f>
        <v>2015.53</v>
      </c>
      <c r="F26" s="13">
        <f>'Income - General'!G26+'Income - Fabric'!G26+'Income - FlowerFund'!G26+'Income - SSchoolFund'!G26+'Income - Guild'!G26+'Income - Organ'!G26+'Income - SfSFund'!G26+'Income - Benevolent'!G26+'Income - Friday'!G26</f>
        <v>2142.75</v>
      </c>
      <c r="G26" s="13">
        <f>'Income - General'!H26+'Income - Fabric'!H26+'Income - FlowerFund'!H26+'Income - SSchoolFund'!H26+'Income - Guild'!H26+'Income - Organ'!H26+'Income - SfSFund'!H26+'Income - Benevolent'!H26+'Income - Friday'!H26</f>
        <v>0</v>
      </c>
      <c r="H26" s="13">
        <f>'Income - General'!I26+'Income - Fabric'!I26+'Income - FlowerFund'!I26+'Income - SSchoolFund'!I26+'Income - Guild'!I26+'Income - Organ'!I26+'Income - SfSFund'!I26+'Income - Benevolent'!I26+'Income - Friday'!I26</f>
        <v>0</v>
      </c>
      <c r="I26" s="13">
        <f>'Income - General'!J26+'Income - Fabric'!J26+'Income - FlowerFund'!J26+'Income - SSchoolFund'!J26+'Income - Guild'!J26+'Income - Organ'!J26+'Income - SfSFund'!J26+'Income - Benevolent'!J26+'Income - Friday'!J26</f>
        <v>0</v>
      </c>
      <c r="J26" s="13">
        <f>'Income - General'!K26+'Income - Fabric'!K26+'Income - FlowerFund'!K26+'Income - SSchoolFund'!K26+'Income - Guild'!K26+'Income - Organ'!K26+'Income - SfSFund'!K26+'Income - Benevolent'!K26+'Income - Friday'!K26</f>
        <v>0</v>
      </c>
      <c r="K26" s="13">
        <f>'Income - General'!L26+'Income - Fabric'!L26+'Income - FlowerFund'!L26+'Income - SSchoolFund'!L26+'Income - Guild'!L26+'Income - Organ'!L26+'Income - SfSFund'!L26+'Income - Benevolent'!L26+'Income - Friday'!L26</f>
        <v>0</v>
      </c>
      <c r="L26" s="13">
        <f>'Income - General'!M26+'Income - Fabric'!M26+'Income - FlowerFund'!M26+'Income - SSchoolFund'!M26+'Income - Guild'!M26+'Income - Organ'!M26+'Income - SfSFund'!M26+'Income - Benevolent'!M26+'Income - Friday'!M26</f>
        <v>0</v>
      </c>
      <c r="M26" s="13">
        <f>'Income - General'!N26+'Income - Fabric'!N26+'Income - FlowerFund'!N26+'Income - SSchoolFund'!N26+'Income - Guild'!N26+'Income - Organ'!N26+'Income - SfSFund'!N26+'Income - Benevolent'!N26+'Income - Friday'!N26</f>
        <v>0</v>
      </c>
      <c r="N26" s="13">
        <f>SUM(B26:M26)</f>
        <v>12093.76</v>
      </c>
      <c r="O26" s="13"/>
      <c r="P26" s="13">
        <f>N26-O26</f>
        <v>12093.76</v>
      </c>
      <c r="Q26" s="13"/>
      <c r="R26" s="13"/>
      <c r="S26" s="13"/>
      <c r="T26" s="13"/>
      <c r="U26" s="13"/>
      <c r="V26" s="13"/>
      <c r="W26" s="13">
        <f>SUM(P26:V26)</f>
        <v>12093.76</v>
      </c>
      <c r="Y26" s="13">
        <f>SUMIF('Income - OverallBUD'!$C$4:$N$4,'Income - Overall'!$Y$2,'Income - OverallBUD'!$C26:$N26)</f>
        <v>10000</v>
      </c>
      <c r="Z26" s="13">
        <f>N26-Y26</f>
        <v>2093.7600000000002</v>
      </c>
      <c r="AB26" s="13">
        <f ca="1">SUMIF('Income - OverallPY'!$B$4:$N$4,'Income - Overall'!$AB$2,'Income - OverallPY'!$B26:$M26)</f>
        <v>9296.869999999999</v>
      </c>
      <c r="AC26" s="13">
        <f ca="1">N26-AB26</f>
        <v>2796.8900000000012</v>
      </c>
      <c r="AD26" s="124">
        <f ca="1">IF(ISERROR((N26/AB26)-1),"-",(N26/AB26)-1)</f>
        <v>0.30084211137727013</v>
      </c>
    </row>
    <row r="27" spans="1:32">
      <c r="A27" s="7" t="s">
        <v>58</v>
      </c>
      <c r="B27" s="27">
        <f t="shared" ref="B27:N27" si="8">SUM(B26:B26)</f>
        <v>0</v>
      </c>
      <c r="C27" s="27">
        <f t="shared" si="8"/>
        <v>0</v>
      </c>
      <c r="D27" s="27">
        <f t="shared" si="8"/>
        <v>7935.48</v>
      </c>
      <c r="E27" s="27">
        <f t="shared" si="8"/>
        <v>2015.53</v>
      </c>
      <c r="F27" s="27">
        <f t="shared" si="8"/>
        <v>2142.75</v>
      </c>
      <c r="G27" s="27">
        <f t="shared" si="8"/>
        <v>0</v>
      </c>
      <c r="H27" s="27">
        <f t="shared" si="8"/>
        <v>0</v>
      </c>
      <c r="I27" s="27">
        <f t="shared" si="8"/>
        <v>0</v>
      </c>
      <c r="J27" s="27">
        <f t="shared" si="8"/>
        <v>0</v>
      </c>
      <c r="K27" s="27">
        <f t="shared" si="8"/>
        <v>0</v>
      </c>
      <c r="L27" s="27">
        <f t="shared" si="8"/>
        <v>0</v>
      </c>
      <c r="M27" s="27">
        <f t="shared" si="8"/>
        <v>0</v>
      </c>
      <c r="N27" s="27">
        <f t="shared" si="8"/>
        <v>12093.76</v>
      </c>
      <c r="O27" s="27">
        <f t="shared" ref="O27:W27" si="9">SUM(O26)</f>
        <v>0</v>
      </c>
      <c r="P27" s="27">
        <f t="shared" si="9"/>
        <v>12093.76</v>
      </c>
      <c r="Q27" s="27">
        <f t="shared" si="9"/>
        <v>0</v>
      </c>
      <c r="R27" s="27">
        <f t="shared" si="9"/>
        <v>0</v>
      </c>
      <c r="S27" s="27">
        <f t="shared" si="9"/>
        <v>0</v>
      </c>
      <c r="T27" s="27">
        <f t="shared" si="9"/>
        <v>0</v>
      </c>
      <c r="U27" s="27">
        <f t="shared" si="9"/>
        <v>0</v>
      </c>
      <c r="V27" s="27">
        <f t="shared" si="9"/>
        <v>0</v>
      </c>
      <c r="W27" s="27">
        <f t="shared" si="9"/>
        <v>12093.76</v>
      </c>
      <c r="Y27" s="27">
        <f>SUM(Y26:Y26)</f>
        <v>10000</v>
      </c>
      <c r="Z27" s="27">
        <f>SUM(Z26:Z26)</f>
        <v>2093.7600000000002</v>
      </c>
      <c r="AB27" s="27">
        <f ca="1">SUM(AB26:AB26)</f>
        <v>9296.869999999999</v>
      </c>
      <c r="AC27" s="27">
        <f ca="1">SUM(AC26:AC26)</f>
        <v>2796.8900000000012</v>
      </c>
      <c r="AD27" s="135">
        <f ca="1">IF(ISERROR((N27/AB27)-1),"-",(N27/AB27)-1)</f>
        <v>0.30084211137727013</v>
      </c>
    </row>
    <row r="28" spans="1:32">
      <c r="A28" s="15"/>
      <c r="B28" s="13"/>
      <c r="C28" s="13"/>
      <c r="D28" s="13"/>
      <c r="E28" s="13"/>
      <c r="F28" s="13"/>
      <c r="G28" s="13"/>
      <c r="H28" s="13"/>
      <c r="I28" s="13"/>
      <c r="J28" s="13"/>
      <c r="K28" s="13"/>
      <c r="L28" s="13"/>
      <c r="M28" s="13"/>
      <c r="N28" s="13"/>
      <c r="O28" s="13"/>
      <c r="P28" s="13"/>
      <c r="Q28" s="13"/>
      <c r="R28" s="13"/>
      <c r="S28" s="13"/>
      <c r="T28" s="13"/>
      <c r="U28" s="13"/>
      <c r="V28" s="13"/>
      <c r="W28" s="13"/>
    </row>
    <row r="29" spans="1:32">
      <c r="A29" s="7" t="s">
        <v>59</v>
      </c>
      <c r="B29" s="13"/>
      <c r="C29" s="13"/>
      <c r="D29" s="13"/>
      <c r="E29" s="13"/>
      <c r="F29" s="13"/>
      <c r="G29" s="13"/>
      <c r="H29" s="13"/>
      <c r="I29" s="13"/>
      <c r="J29" s="13"/>
      <c r="K29" s="13"/>
      <c r="L29" s="13"/>
      <c r="M29" s="13"/>
      <c r="N29" s="13"/>
      <c r="O29" s="13"/>
      <c r="P29" s="13"/>
      <c r="Q29" s="13"/>
      <c r="R29" s="13"/>
      <c r="S29" s="13"/>
      <c r="T29" s="13"/>
      <c r="U29" s="13"/>
      <c r="V29" s="13"/>
      <c r="W29" s="13"/>
    </row>
    <row r="30" spans="1:32">
      <c r="A30" s="15" t="s">
        <v>60</v>
      </c>
      <c r="B30" s="13">
        <f>'Income - General'!C30+'Income - Fabric'!C31+'Income - FlowerFund'!C31+'Income - SSchoolFund'!C31+'Income - Guild'!C31+'Income - Organ'!C31+'Income - SfSFund'!C31+'Income - Benevolent'!C31+'Income - Friday'!C31</f>
        <v>0</v>
      </c>
      <c r="C30" s="13">
        <f>'Income - General'!D30+'Income - Fabric'!D31+'Income - FlowerFund'!D31+'Income - SSchoolFund'!D31+'Income - Guild'!D31+'Income - Organ'!D31+'Income - SfSFund'!D31+'Income - Benevolent'!D31+'Income - Friday'!D31</f>
        <v>0</v>
      </c>
      <c r="D30" s="13">
        <f>'Income - General'!E30+'Income - Fabric'!E31+'Income - FlowerFund'!E31+'Income - SSchoolFund'!E31+'Income - Guild'!E31+'Income - Organ'!E31+'Income - SfSFund'!E31+'Income - Benevolent'!E31+'Income - Friday'!E31</f>
        <v>0</v>
      </c>
      <c r="E30" s="13">
        <f>'Income - General'!F30+'Income - Fabric'!F31+'Income - FlowerFund'!F31+'Income - SSchoolFund'!F31+'Income - Guild'!F31+'Income - Organ'!F31+'Income - SfSFund'!F31+'Income - Benevolent'!F31+'Income - Friday'!F31</f>
        <v>0</v>
      </c>
      <c r="F30" s="13">
        <f>'Income - General'!G30+'Income - Fabric'!G31+'Income - FlowerFund'!G31+'Income - SSchoolFund'!G31+'Income - Guild'!G31+'Income - Organ'!G31+'Income - SfSFund'!G31+'Income - Benevolent'!G31+'Income - Friday'!G31</f>
        <v>0</v>
      </c>
      <c r="G30" s="13">
        <f>'Income - General'!H30+'Income - Fabric'!H31+'Income - FlowerFund'!H31+'Income - SSchoolFund'!H31+'Income - Guild'!H31+'Income - Organ'!H31+'Income - SfSFund'!H31+'Income - Benevolent'!H31+'Income - Friday'!H31</f>
        <v>0</v>
      </c>
      <c r="H30" s="13">
        <f>'Income - General'!I30+'Income - Fabric'!I31+'Income - FlowerFund'!I31+'Income - SSchoolFund'!I31+'Income - Guild'!I31+'Income - Organ'!I31+'Income - SfSFund'!I31+'Income - Benevolent'!I31+'Income - Friday'!I31</f>
        <v>0</v>
      </c>
      <c r="I30" s="13">
        <f>'Income - General'!J30+'Income - Fabric'!J31+'Income - FlowerFund'!J31+'Income - SSchoolFund'!J31+'Income - Guild'!J31+'Income - Organ'!J31+'Income - SfSFund'!J31+'Income - Benevolent'!J31+'Income - Friday'!J31</f>
        <v>0</v>
      </c>
      <c r="J30" s="13">
        <f>'Income - General'!K30+'Income - Fabric'!K31+'Income - FlowerFund'!K31+'Income - SSchoolFund'!K31+'Income - Guild'!K31+'Income - Organ'!K31+'Income - SfSFund'!K31+'Income - Benevolent'!K31+'Income - Friday'!K31</f>
        <v>0</v>
      </c>
      <c r="K30" s="13">
        <f>'Income - General'!L30+'Income - Fabric'!L31+'Income - FlowerFund'!L31+'Income - SSchoolFund'!L31+'Income - Guild'!L31+'Income - Organ'!L31+'Income - SfSFund'!L31+'Income - Benevolent'!L31+'Income - Friday'!L31</f>
        <v>0</v>
      </c>
      <c r="L30" s="13">
        <f>'Income - General'!M30+'Income - Fabric'!M31+'Income - FlowerFund'!M31+'Income - SSchoolFund'!M31+'Income - Guild'!M31+'Income - Organ'!M31+'Income - SfSFund'!M31+'Income - Benevolent'!M31+'Income - Friday'!M31</f>
        <v>0</v>
      </c>
      <c r="M30" s="13">
        <f>'Income - General'!N30+'Income - Fabric'!N31+'Income - FlowerFund'!N31+'Income - SSchoolFund'!N31+'Income - Guild'!N31+'Income - Organ'!N31+'Income - SfSFund'!N31+'Income - Benevolent'!N31+'Income - Friday'!N31</f>
        <v>0</v>
      </c>
      <c r="N30" s="13">
        <f>SUM(B30:M30)</f>
        <v>0</v>
      </c>
      <c r="O30" s="13"/>
      <c r="P30" s="13">
        <f>N30-O30</f>
        <v>0</v>
      </c>
      <c r="Q30" s="13"/>
      <c r="R30" s="13"/>
      <c r="S30" s="13"/>
      <c r="T30" s="13"/>
      <c r="U30" s="13"/>
      <c r="V30" s="13"/>
      <c r="W30" s="13">
        <f>SUM(P30:V30)</f>
        <v>0</v>
      </c>
      <c r="Y30" s="13">
        <f>SUMIF('Income - OverallBUD'!$C$4:$N$4,'Income - Overall'!$Y$2,'Income - OverallBUD'!$C30:$N30)</f>
        <v>0</v>
      </c>
      <c r="Z30" s="13">
        <f>N30-Y30</f>
        <v>0</v>
      </c>
      <c r="AB30" s="13">
        <f ca="1">SUMIF('Income - OverallPY'!$B$4:$N$4,'Income - Overall'!$AB$2,'Income - OverallPY'!$B30:$M30)</f>
        <v>0</v>
      </c>
      <c r="AC30" s="13">
        <f ca="1">N30-AB30</f>
        <v>0</v>
      </c>
      <c r="AD30" s="124" t="str">
        <f ca="1">IF(ISERROR((N30/AB30)-1),"-",(N30/AB30)-1)</f>
        <v>-</v>
      </c>
    </row>
    <row r="31" spans="1:32">
      <c r="A31" s="7" t="s">
        <v>61</v>
      </c>
      <c r="B31" s="27">
        <f>SUM(B30)</f>
        <v>0</v>
      </c>
      <c r="C31" s="27">
        <f t="shared" ref="C31:AC31" si="10">SUM(C30)</f>
        <v>0</v>
      </c>
      <c r="D31" s="27">
        <f t="shared" si="10"/>
        <v>0</v>
      </c>
      <c r="E31" s="27">
        <f t="shared" si="10"/>
        <v>0</v>
      </c>
      <c r="F31" s="27">
        <f t="shared" si="10"/>
        <v>0</v>
      </c>
      <c r="G31" s="27">
        <f t="shared" si="10"/>
        <v>0</v>
      </c>
      <c r="H31" s="27">
        <f t="shared" si="10"/>
        <v>0</v>
      </c>
      <c r="I31" s="27">
        <f t="shared" si="10"/>
        <v>0</v>
      </c>
      <c r="J31" s="27">
        <f t="shared" si="10"/>
        <v>0</v>
      </c>
      <c r="K31" s="27">
        <f t="shared" si="10"/>
        <v>0</v>
      </c>
      <c r="L31" s="27">
        <f t="shared" si="10"/>
        <v>0</v>
      </c>
      <c r="M31" s="27">
        <f t="shared" si="10"/>
        <v>0</v>
      </c>
      <c r="N31" s="27">
        <f t="shared" si="10"/>
        <v>0</v>
      </c>
      <c r="O31" s="27">
        <f t="shared" si="10"/>
        <v>0</v>
      </c>
      <c r="P31" s="27">
        <f t="shared" si="10"/>
        <v>0</v>
      </c>
      <c r="Q31" s="27">
        <f t="shared" si="10"/>
        <v>0</v>
      </c>
      <c r="R31" s="27">
        <f t="shared" si="10"/>
        <v>0</v>
      </c>
      <c r="S31" s="27">
        <f t="shared" si="10"/>
        <v>0</v>
      </c>
      <c r="T31" s="27">
        <f>SUM(T30)</f>
        <v>0</v>
      </c>
      <c r="U31" s="27">
        <f>SUM(U30)</f>
        <v>0</v>
      </c>
      <c r="V31" s="27">
        <f t="shared" si="10"/>
        <v>0</v>
      </c>
      <c r="W31" s="27">
        <f t="shared" si="10"/>
        <v>0</v>
      </c>
      <c r="Y31" s="27">
        <f t="shared" si="10"/>
        <v>0</v>
      </c>
      <c r="Z31" s="27">
        <f t="shared" si="10"/>
        <v>0</v>
      </c>
      <c r="AB31" s="27">
        <f t="shared" ca="1" si="10"/>
        <v>0</v>
      </c>
      <c r="AC31" s="27">
        <f t="shared" ca="1" si="10"/>
        <v>0</v>
      </c>
      <c r="AD31" s="135" t="str">
        <f ca="1">IF(ISERROR((N31/AB31)-1),"-",(N31/AB31)-1)</f>
        <v>-</v>
      </c>
      <c r="AF31" s="4"/>
    </row>
    <row r="32" spans="1:32">
      <c r="A32" s="15"/>
      <c r="B32" s="13"/>
      <c r="C32" s="13"/>
      <c r="D32" s="13"/>
      <c r="E32" s="13"/>
      <c r="F32" s="13"/>
      <c r="G32" s="13"/>
      <c r="H32" s="13"/>
      <c r="I32" s="13"/>
      <c r="J32" s="13"/>
      <c r="K32" s="13"/>
      <c r="L32" s="13"/>
      <c r="M32" s="13"/>
      <c r="N32" s="13"/>
      <c r="O32" s="13"/>
      <c r="P32" s="13"/>
      <c r="Q32" s="13"/>
      <c r="R32" s="13"/>
      <c r="S32" s="13"/>
      <c r="T32" s="13"/>
      <c r="U32" s="13"/>
      <c r="V32" s="13"/>
      <c r="W32" s="13"/>
    </row>
    <row r="33" spans="1:30">
      <c r="A33" s="41" t="s">
        <v>62</v>
      </c>
      <c r="B33" s="13"/>
      <c r="C33" s="13"/>
      <c r="D33" s="13"/>
      <c r="E33" s="13"/>
      <c r="F33" s="13"/>
      <c r="G33" s="13"/>
      <c r="H33" s="13"/>
      <c r="I33" s="13"/>
      <c r="J33" s="13"/>
      <c r="K33" s="13"/>
      <c r="L33" s="13"/>
      <c r="M33" s="13"/>
      <c r="N33" s="13"/>
      <c r="O33" s="13"/>
      <c r="P33" s="13"/>
      <c r="Q33" s="13"/>
      <c r="R33" s="13"/>
      <c r="S33" s="13"/>
      <c r="T33" s="13"/>
      <c r="U33" s="13"/>
      <c r="V33" s="13"/>
      <c r="W33" s="13"/>
    </row>
    <row r="34" spans="1:30">
      <c r="A34" s="15" t="s">
        <v>63</v>
      </c>
      <c r="B34" s="13">
        <f>'Income - General'!C34+'Income - Fabric'!C35+'Income - FlowerFund'!C35+'Income - SSchoolFund'!C35+'Income - Guild'!C35+'Income - Organ'!C35+'Income - SfSFund'!C35+'Income - Benevolent'!C35+'Income - Friday'!C35</f>
        <v>1220.25</v>
      </c>
      <c r="C34" s="13">
        <f>'Income - General'!D34+'Income - Fabric'!D35+'Income - FlowerFund'!D35+'Income - SSchoolFund'!D35+'Income - Guild'!D35+'Income - Organ'!D35+'Income - SfSFund'!D35+'Income - Benevolent'!D35+'Income - Friday'!D35</f>
        <v>0</v>
      </c>
      <c r="D34" s="13">
        <f>'Income - General'!E34+'Income - Fabric'!E35+'Income - FlowerFund'!E35+'Income - SSchoolFund'!E35+'Income - Guild'!E35+'Income - Organ'!E35+'Income - SfSFund'!E35+'Income - Benevolent'!E35+'Income - Friday'!E35</f>
        <v>0</v>
      </c>
      <c r="E34" s="13">
        <f>'Income - General'!F34+'Income - Fabric'!F35+'Income - FlowerFund'!F35+'Income - SSchoolFund'!F35+'Income - Guild'!F35+'Income - Organ'!F35+'Income - SfSFund'!F35+'Income - Benevolent'!F35+'Income - Friday'!F35</f>
        <v>0</v>
      </c>
      <c r="F34" s="13">
        <f>'Income - General'!G34+'Income - Fabric'!G35+'Income - FlowerFund'!G35+'Income - SSchoolFund'!G35+'Income - Guild'!G35+'Income - Organ'!G35+'Income - SfSFund'!G35+'Income - Benevolent'!G35+'Income - Friday'!G35</f>
        <v>0</v>
      </c>
      <c r="G34" s="13">
        <f>'Income - General'!H34+'Income - Fabric'!H35+'Income - FlowerFund'!H35+'Income - SSchoolFund'!H35+'Income - Guild'!H35+'Income - Organ'!H35+'Income - SfSFund'!H35+'Income - Benevolent'!H35+'Income - Friday'!H35</f>
        <v>0</v>
      </c>
      <c r="H34" s="13">
        <f>'Income - General'!I34+'Income - Fabric'!I35+'Income - FlowerFund'!I35+'Income - SSchoolFund'!I35+'Income - Guild'!I35+'Income - Organ'!I35+'Income - SfSFund'!I35+'Income - Benevolent'!I35+'Income - Friday'!I35</f>
        <v>0</v>
      </c>
      <c r="I34" s="13">
        <f>'Income - General'!J34+'Income - Fabric'!J35+'Income - FlowerFund'!J35+'Income - SSchoolFund'!J35+'Income - Guild'!J35+'Income - Organ'!J35+'Income - SfSFund'!J35+'Income - Benevolent'!J35+'Income - Friday'!J35</f>
        <v>0</v>
      </c>
      <c r="J34" s="13">
        <f>'Income - General'!K34+'Income - Fabric'!K35+'Income - FlowerFund'!K35+'Income - SSchoolFund'!K35+'Income - Guild'!K35+'Income - Organ'!K35+'Income - SfSFund'!K35+'Income - Benevolent'!K35+'Income - Friday'!K35</f>
        <v>0</v>
      </c>
      <c r="K34" s="13">
        <f>'Income - General'!L34+'Income - Fabric'!L35+'Income - FlowerFund'!L35+'Income - SSchoolFund'!L35+'Income - Guild'!L35+'Income - Organ'!L35+'Income - SfSFund'!L35+'Income - Benevolent'!L35+'Income - Friday'!L35</f>
        <v>0</v>
      </c>
      <c r="L34" s="13">
        <f>'Income - General'!M34+'Income - Fabric'!M35+'Income - FlowerFund'!M35+'Income - SSchoolFund'!M35+'Income - Guild'!M35+'Income - Organ'!M35+'Income - SfSFund'!M35+'Income - Benevolent'!M35+'Income - Friday'!M35</f>
        <v>0</v>
      </c>
      <c r="M34" s="13">
        <f>'Income - General'!N34+'Income - Fabric'!N35+'Income - FlowerFund'!N35+'Income - SSchoolFund'!N35+'Income - Guild'!N35+'Income - Organ'!N35+'Income - SfSFund'!N35+'Income - Benevolent'!N35+'Income - Friday'!N35</f>
        <v>0</v>
      </c>
      <c r="N34" s="13">
        <f>SUM(B34:M34)</f>
        <v>1220.25</v>
      </c>
      <c r="O34" s="13"/>
      <c r="P34" s="13">
        <f>N34-O34</f>
        <v>1220.25</v>
      </c>
      <c r="Q34" s="13"/>
      <c r="R34" s="13"/>
      <c r="S34" s="13"/>
      <c r="T34" s="13"/>
      <c r="U34" s="13"/>
      <c r="V34" s="13"/>
      <c r="W34" s="13">
        <f>SUM(P34:V34)</f>
        <v>1220.25</v>
      </c>
      <c r="Y34" s="13">
        <f>SUMIF('Income - OverallBUD'!$C$4:$N$4,'Income - Overall'!$Y$2,'Income - OverallBUD'!$C34:$N34)</f>
        <v>0</v>
      </c>
      <c r="Z34" s="13">
        <f>N34-Y34</f>
        <v>1220.25</v>
      </c>
      <c r="AB34" s="13">
        <v>0</v>
      </c>
      <c r="AC34" s="13">
        <f>N34-AB34</f>
        <v>1220.25</v>
      </c>
      <c r="AD34" s="124" t="str">
        <f>IF(ISERROR((N34/AB34)-1),"-",(N34/AB34)-1)</f>
        <v>-</v>
      </c>
    </row>
    <row r="35" spans="1:30">
      <c r="A35" s="15" t="s">
        <v>64</v>
      </c>
      <c r="B35" s="13">
        <f>'Income - General'!C35+'Income - Fabric'!C36+'Income - FlowerFund'!C36+'Income - SSchoolFund'!C36+'Income - Guild'!C36+'Income - Organ'!C36+'Income - SfSFund'!C36+'Income - Benevolent'!C36+'Income - Friday'!C36</f>
        <v>0</v>
      </c>
      <c r="C35" s="13">
        <f>'Income - General'!D35+'Income - Fabric'!D36+'Income - FlowerFund'!D36+'Income - SSchoolFund'!D36+'Income - Guild'!D36+'Income - Organ'!D36+'Income - SfSFund'!D36+'Income - Benevolent'!D36+'Income - Friday'!D36</f>
        <v>0</v>
      </c>
      <c r="D35" s="13">
        <f>'Income - General'!E35+'Income - Fabric'!E36+'Income - FlowerFund'!E36+'Income - SSchoolFund'!E36+'Income - Guild'!E36+'Income - Organ'!E36+'Income - SfSFund'!E36+'Income - Benevolent'!E36+'Income - Friday'!E36</f>
        <v>0</v>
      </c>
      <c r="E35" s="13">
        <f>'Income - General'!F35+'Income - Fabric'!F36+'Income - FlowerFund'!F36+'Income - SSchoolFund'!F36+'Income - Guild'!F36+'Income - Organ'!F36+'Income - SfSFund'!F36+'Income - Benevolent'!F36+'Income - Friday'!F36</f>
        <v>0</v>
      </c>
      <c r="F35" s="13">
        <f>'Income - General'!G35+'Income - Fabric'!G36+'Income - FlowerFund'!G36+'Income - SSchoolFund'!G36+'Income - Guild'!G36+'Income - Organ'!G36+'Income - SfSFund'!G36+'Income - Benevolent'!G36+'Income - Friday'!G36</f>
        <v>0</v>
      </c>
      <c r="G35" s="13">
        <f>'Income - General'!H35+'Income - Fabric'!H36+'Income - FlowerFund'!H36+'Income - SSchoolFund'!H36+'Income - Guild'!H36+'Income - Organ'!H36+'Income - SfSFund'!H36+'Income - Benevolent'!H36+'Income - Friday'!H36</f>
        <v>0</v>
      </c>
      <c r="H35" s="13">
        <f>'Income - General'!I35+'Income - Fabric'!I36+'Income - FlowerFund'!I36+'Income - SSchoolFund'!I36+'Income - Guild'!I36+'Income - Organ'!I36+'Income - SfSFund'!I36+'Income - Benevolent'!I36+'Income - Friday'!I36</f>
        <v>0</v>
      </c>
      <c r="I35" s="13">
        <f>'Income - General'!J35+'Income - Fabric'!J36+'Income - FlowerFund'!J36+'Income - SSchoolFund'!J36+'Income - Guild'!J36+'Income - Organ'!J36+'Income - SfSFund'!J36+'Income - Benevolent'!J36+'Income - Friday'!J36</f>
        <v>0</v>
      </c>
      <c r="J35" s="13">
        <f>'Income - General'!K35+'Income - Fabric'!K36+'Income - FlowerFund'!K36+'Income - SSchoolFund'!K36+'Income - Guild'!K36+'Income - Organ'!K36+'Income - SfSFund'!K36+'Income - Benevolent'!K36+'Income - Friday'!K36</f>
        <v>0</v>
      </c>
      <c r="K35" s="13">
        <f>'Income - General'!L35+'Income - Fabric'!L36+'Income - FlowerFund'!L36+'Income - SSchoolFund'!L36+'Income - Guild'!L36+'Income - Organ'!L36+'Income - SfSFund'!L36+'Income - Benevolent'!L36+'Income - Friday'!L36</f>
        <v>0</v>
      </c>
      <c r="L35" s="13">
        <f>'Income - General'!M35+'Income - Fabric'!M36+'Income - FlowerFund'!M36+'Income - SSchoolFund'!M36+'Income - Guild'!M36+'Income - Organ'!M36+'Income - SfSFund'!M36+'Income - Benevolent'!M36+'Income - Friday'!M36</f>
        <v>0</v>
      </c>
      <c r="M35" s="13">
        <f>'Income - General'!N35+'Income - Fabric'!N36+'Income - FlowerFund'!N36+'Income - SSchoolFund'!N36+'Income - Guild'!N36+'Income - Organ'!N36+'Income - SfSFund'!N36+'Income - Benevolent'!N36+'Income - Friday'!N36</f>
        <v>0</v>
      </c>
      <c r="N35" s="13">
        <f>SUM(B35:M35)</f>
        <v>0</v>
      </c>
      <c r="O35" s="13"/>
      <c r="P35" s="13">
        <f>N35-O35</f>
        <v>0</v>
      </c>
      <c r="Q35" s="13"/>
      <c r="R35" s="13"/>
      <c r="S35" s="13"/>
      <c r="T35" s="13"/>
      <c r="U35" s="13"/>
      <c r="V35" s="13"/>
      <c r="W35" s="13">
        <f>SUM(P35:V35)</f>
        <v>0</v>
      </c>
      <c r="Y35" s="13">
        <f>SUMIF('Income - OverallBUD'!$C$4:$N$4,'Income - Overall'!$Y$2,'Income - OverallBUD'!$C35:$N35)</f>
        <v>0</v>
      </c>
      <c r="Z35" s="13">
        <f>N35-Y35</f>
        <v>0</v>
      </c>
      <c r="AB35" s="13">
        <f ca="1">SUMIF('Income - OverallPY'!$B$4:$N$4,'Income - Overall'!$AB$2,'Income - OverallPY'!$B35:$M35)</f>
        <v>0</v>
      </c>
      <c r="AC35" s="13">
        <f ca="1">N35-AB35</f>
        <v>0</v>
      </c>
      <c r="AD35" s="124" t="str">
        <f ca="1">IF(ISERROR((N35/AB35)-1),"-",(N35/AB35)-1)</f>
        <v>-</v>
      </c>
    </row>
    <row r="36" spans="1:30">
      <c r="A36" s="15" t="s">
        <v>65</v>
      </c>
      <c r="B36" s="13">
        <f>'Income - General'!C36+'Income - Fabric'!C37+'Income - FlowerFund'!C37+'Income - SSchoolFund'!C37+'Income - Guild'!C37+'Income - Organ'!C37+'Income - SfSFund'!C37+'Income - Benevolent'!C37+'Income - Friday'!C37</f>
        <v>0</v>
      </c>
      <c r="C36" s="13">
        <f>'Income - General'!D36+'Income - Fabric'!D37+'Income - FlowerFund'!D37+'Income - SSchoolFund'!D37+'Income - Guild'!D37+'Income - Organ'!D37+'Income - SfSFund'!D37+'Income - Benevolent'!D37+'Income - Friday'!D37</f>
        <v>0</v>
      </c>
      <c r="D36" s="13">
        <f>'Income - General'!E36+'Income - Fabric'!E37+'Income - FlowerFund'!E37+'Income - SSchoolFund'!E37+'Income - Guild'!E37+'Income - Organ'!E37+'Income - SfSFund'!E37+'Income - Benevolent'!E37+'Income - Friday'!E37</f>
        <v>0</v>
      </c>
      <c r="E36" s="13">
        <f>'Income - General'!F36+'Income - Fabric'!F37+'Income - FlowerFund'!F37+'Income - SSchoolFund'!F37+'Income - Guild'!F37+'Income - Organ'!F37+'Income - SfSFund'!F37+'Income - Benevolent'!F37+'Income - Friday'!F37</f>
        <v>0</v>
      </c>
      <c r="F36" s="13">
        <f>'Income - General'!G36+'Income - Fabric'!G37+'Income - FlowerFund'!G37+'Income - SSchoolFund'!G37+'Income - Guild'!G37+'Income - Organ'!G37+'Income - SfSFund'!G37+'Income - Benevolent'!G37+'Income - Friday'!G37</f>
        <v>0</v>
      </c>
      <c r="G36" s="13">
        <f>'Income - General'!H36+'Income - Fabric'!H37+'Income - FlowerFund'!H37+'Income - SSchoolFund'!H37+'Income - Guild'!H37+'Income - Organ'!H37+'Income - SfSFund'!H37+'Income - Benevolent'!H37+'Income - Friday'!H37</f>
        <v>0</v>
      </c>
      <c r="H36" s="13">
        <f>'Income - General'!I36+'Income - Fabric'!I37+'Income - FlowerFund'!I37+'Income - SSchoolFund'!I37+'Income - Guild'!I37+'Income - Organ'!I37+'Income - SfSFund'!I37+'Income - Benevolent'!I37+'Income - Friday'!I37</f>
        <v>0</v>
      </c>
      <c r="I36" s="13">
        <f>'Income - General'!J36+'Income - Fabric'!J37+'Income - FlowerFund'!J37+'Income - SSchoolFund'!J37+'Income - Guild'!J37+'Income - Organ'!J37+'Income - SfSFund'!J37+'Income - Benevolent'!J37+'Income - Friday'!J37</f>
        <v>0</v>
      </c>
      <c r="J36" s="13">
        <f>'Income - General'!K36+'Income - Fabric'!K37+'Income - FlowerFund'!K37+'Income - SSchoolFund'!K37+'Income - Guild'!K37+'Income - Organ'!K37+'Income - SfSFund'!K37+'Income - Benevolent'!K37+'Income - Friday'!K37</f>
        <v>0</v>
      </c>
      <c r="K36" s="13">
        <f>'Income - General'!L36+'Income - Fabric'!L37+'Income - FlowerFund'!L37+'Income - SSchoolFund'!L37+'Income - Guild'!L37+'Income - Organ'!L37+'Income - SfSFund'!L37+'Income - Benevolent'!L37+'Income - Friday'!L37</f>
        <v>0</v>
      </c>
      <c r="L36" s="13">
        <f>'Income - General'!M36+'Income - Fabric'!M37+'Income - FlowerFund'!M37+'Income - SSchoolFund'!M37+'Income - Guild'!M37+'Income - Organ'!M37+'Income - SfSFund'!M37+'Income - Benevolent'!M37+'Income - Friday'!M37</f>
        <v>0</v>
      </c>
      <c r="M36" s="13">
        <f>'Income - General'!N36+'Income - Fabric'!N37+'Income - FlowerFund'!N37+'Income - SSchoolFund'!N37+'Income - Guild'!N37+'Income - Organ'!N37+'Income - SfSFund'!N37+'Income - Benevolent'!N37+'Income - Friday'!N37</f>
        <v>0</v>
      </c>
      <c r="N36" s="13">
        <f>SUM(B36:M36)</f>
        <v>0</v>
      </c>
      <c r="O36" s="13"/>
      <c r="P36" s="13">
        <f>N36-O36</f>
        <v>0</v>
      </c>
      <c r="Q36" s="13"/>
      <c r="R36" s="13"/>
      <c r="S36" s="13"/>
      <c r="T36" s="13"/>
      <c r="U36" s="13"/>
      <c r="V36" s="13"/>
      <c r="W36" s="13">
        <f>SUM(P36:V36)</f>
        <v>0</v>
      </c>
      <c r="Y36" s="13">
        <f>SUMIF('Income - OverallBUD'!$C$4:$N$4,'Income - Overall'!$Y$2,'Income - OverallBUD'!$C36:$N36)</f>
        <v>0</v>
      </c>
      <c r="Z36" s="13">
        <f>N36-Y36</f>
        <v>0</v>
      </c>
      <c r="AB36" s="13">
        <f ca="1">SUMIF('Income - OverallPY'!$B$4:$N$4,'Income - Overall'!$AB$2,'Income - OverallPY'!$B36:$M36)</f>
        <v>0</v>
      </c>
      <c r="AC36" s="13">
        <f ca="1">N36-AB36</f>
        <v>0</v>
      </c>
      <c r="AD36" s="124" t="str">
        <f ca="1">IF(ISERROR((N36/AB36)-1),"-",(N36/AB36)-1)</f>
        <v>-</v>
      </c>
    </row>
    <row r="37" spans="1:30">
      <c r="A37" s="39" t="s">
        <v>66</v>
      </c>
      <c r="B37" s="27">
        <f>SUM(B34:B36)</f>
        <v>1220.25</v>
      </c>
      <c r="C37" s="27">
        <f t="shared" ref="C37:N37" si="11">SUM(C34:C36)</f>
        <v>0</v>
      </c>
      <c r="D37" s="27">
        <f t="shared" si="11"/>
        <v>0</v>
      </c>
      <c r="E37" s="27">
        <f t="shared" si="11"/>
        <v>0</v>
      </c>
      <c r="F37" s="27">
        <f t="shared" si="11"/>
        <v>0</v>
      </c>
      <c r="G37" s="27">
        <f t="shared" si="11"/>
        <v>0</v>
      </c>
      <c r="H37" s="27">
        <f t="shared" si="11"/>
        <v>0</v>
      </c>
      <c r="I37" s="27">
        <f t="shared" si="11"/>
        <v>0</v>
      </c>
      <c r="J37" s="27">
        <f t="shared" si="11"/>
        <v>0</v>
      </c>
      <c r="K37" s="27">
        <f t="shared" si="11"/>
        <v>0</v>
      </c>
      <c r="L37" s="27">
        <f t="shared" si="11"/>
        <v>0</v>
      </c>
      <c r="M37" s="27">
        <f t="shared" si="11"/>
        <v>0</v>
      </c>
      <c r="N37" s="27">
        <f t="shared" si="11"/>
        <v>1220.25</v>
      </c>
      <c r="O37" s="27">
        <f>SUM(O34:O36)</f>
        <v>0</v>
      </c>
      <c r="P37" s="27">
        <f>SUM(P34:P36)</f>
        <v>1220.25</v>
      </c>
      <c r="Q37" s="27">
        <f t="shared" ref="Q37:W37" si="12">SUM(Q34:Q36)</f>
        <v>0</v>
      </c>
      <c r="R37" s="27">
        <f t="shared" si="12"/>
        <v>0</v>
      </c>
      <c r="S37" s="27">
        <f t="shared" si="12"/>
        <v>0</v>
      </c>
      <c r="T37" s="27">
        <f>SUM(T34:T36)</f>
        <v>0</v>
      </c>
      <c r="U37" s="27">
        <f>SUM(U34:U36)</f>
        <v>0</v>
      </c>
      <c r="V37" s="27">
        <f t="shared" si="12"/>
        <v>0</v>
      </c>
      <c r="W37" s="27">
        <f t="shared" si="12"/>
        <v>1220.25</v>
      </c>
      <c r="Y37" s="27">
        <f>SUM(Y34:Y36)</f>
        <v>0</v>
      </c>
      <c r="Z37" s="27">
        <f>SUM(Z34:Z36)</f>
        <v>1220.25</v>
      </c>
      <c r="AB37" s="27">
        <f ca="1">SUM(AB34:AB36)</f>
        <v>0</v>
      </c>
      <c r="AC37" s="27">
        <f ca="1">SUM(AC34:AC36)</f>
        <v>1220.25</v>
      </c>
      <c r="AD37" s="135" t="str">
        <f ca="1">IF(ISERROR((N37/AB37)-1),"-",(N37/AB37)-1)</f>
        <v>-</v>
      </c>
    </row>
    <row r="38" spans="1:30">
      <c r="A38" s="15"/>
      <c r="B38" s="13"/>
      <c r="C38" s="13"/>
      <c r="D38" s="13"/>
      <c r="E38" s="13"/>
      <c r="F38" s="13"/>
      <c r="G38" s="13"/>
      <c r="H38" s="13"/>
      <c r="I38" s="13"/>
      <c r="J38" s="13"/>
      <c r="K38" s="13"/>
      <c r="L38" s="13"/>
      <c r="M38" s="13"/>
      <c r="N38" s="13"/>
      <c r="O38" s="13"/>
      <c r="P38" s="13"/>
      <c r="Q38" s="13"/>
      <c r="R38" s="13"/>
      <c r="S38" s="13"/>
      <c r="T38" s="13"/>
      <c r="U38" s="13"/>
      <c r="V38" s="13"/>
      <c r="W38" s="13"/>
    </row>
    <row r="39" spans="1:30">
      <c r="A39" s="16" t="s">
        <v>67</v>
      </c>
      <c r="B39" s="27">
        <f t="shared" ref="B39:W39" si="13">B37+B31+B27+B16+B23</f>
        <v>10983.839999999998</v>
      </c>
      <c r="C39" s="27">
        <f t="shared" si="13"/>
        <v>10192.969999999999</v>
      </c>
      <c r="D39" s="27">
        <f t="shared" si="13"/>
        <v>18173.09</v>
      </c>
      <c r="E39" s="27">
        <f t="shared" si="13"/>
        <v>12176.16</v>
      </c>
      <c r="F39" s="27">
        <f t="shared" si="13"/>
        <v>15251.47</v>
      </c>
      <c r="G39" s="27">
        <f t="shared" si="13"/>
        <v>0</v>
      </c>
      <c r="H39" s="27">
        <f t="shared" si="13"/>
        <v>0</v>
      </c>
      <c r="I39" s="27">
        <f t="shared" si="13"/>
        <v>0</v>
      </c>
      <c r="J39" s="27">
        <f t="shared" si="13"/>
        <v>0</v>
      </c>
      <c r="K39" s="27">
        <f t="shared" si="13"/>
        <v>0</v>
      </c>
      <c r="L39" s="27">
        <f t="shared" si="13"/>
        <v>0</v>
      </c>
      <c r="M39" s="27">
        <f t="shared" si="13"/>
        <v>0</v>
      </c>
      <c r="N39" s="27">
        <f t="shared" si="13"/>
        <v>66777.53</v>
      </c>
      <c r="O39" s="27">
        <f t="shared" si="13"/>
        <v>0</v>
      </c>
      <c r="P39" s="27">
        <f t="shared" si="13"/>
        <v>66777.53</v>
      </c>
      <c r="Q39" s="27">
        <f t="shared" si="13"/>
        <v>0</v>
      </c>
      <c r="R39" s="27">
        <f t="shared" si="13"/>
        <v>0</v>
      </c>
      <c r="S39" s="27">
        <f t="shared" si="13"/>
        <v>0</v>
      </c>
      <c r="T39" s="27">
        <f t="shared" si="13"/>
        <v>0</v>
      </c>
      <c r="U39" s="27">
        <f t="shared" si="13"/>
        <v>0</v>
      </c>
      <c r="V39" s="27">
        <f t="shared" si="13"/>
        <v>0</v>
      </c>
      <c r="W39" s="27">
        <f t="shared" si="13"/>
        <v>66777.53</v>
      </c>
      <c r="Y39" s="165">
        <f>Y37+Y31+Y27+Y16+Y23</f>
        <v>61900</v>
      </c>
      <c r="Z39" s="27">
        <f>Z37+Z31+Z27+Z16+Z23</f>
        <v>4877.5299999999988</v>
      </c>
      <c r="AB39" s="27">
        <f ca="1">AB37+AB31+AB27+AB16+AB23</f>
        <v>63591.54</v>
      </c>
      <c r="AC39" s="27">
        <f ca="1">AC37+AC31+AC27+AC16+AC23</f>
        <v>3185.989999999998</v>
      </c>
      <c r="AD39" s="135">
        <f ca="1">IF(ISERROR((N39/AB39)-1),"-",(N39/AB39)-1)</f>
        <v>5.0100846747853645E-2</v>
      </c>
    </row>
    <row r="40" spans="1:30">
      <c r="A40" s="15"/>
      <c r="B40" s="13"/>
      <c r="C40" s="13"/>
      <c r="D40" s="13"/>
      <c r="E40" s="13"/>
      <c r="F40" s="13"/>
      <c r="G40" s="13"/>
      <c r="H40" s="13"/>
      <c r="I40" s="13"/>
      <c r="J40" s="13"/>
      <c r="K40" s="13"/>
      <c r="L40" s="13"/>
      <c r="M40" s="13"/>
      <c r="N40" s="13"/>
      <c r="O40" s="13"/>
      <c r="P40" s="13"/>
      <c r="Q40" s="13"/>
      <c r="R40" s="13"/>
      <c r="S40" s="13"/>
      <c r="T40" s="13"/>
      <c r="U40" s="13"/>
      <c r="V40" s="13"/>
      <c r="W40" s="13"/>
    </row>
    <row r="41" spans="1:30">
      <c r="A41" s="40" t="s">
        <v>68</v>
      </c>
      <c r="B41" s="13"/>
      <c r="C41" s="13"/>
      <c r="D41" s="13"/>
      <c r="E41" s="13"/>
      <c r="F41" s="13"/>
      <c r="G41" s="13"/>
      <c r="H41" s="13"/>
      <c r="I41" s="13"/>
      <c r="J41" s="13"/>
      <c r="K41" s="13"/>
      <c r="L41" s="13"/>
      <c r="M41" s="13"/>
      <c r="N41" s="13"/>
      <c r="O41" s="13"/>
      <c r="P41" s="13"/>
      <c r="Q41" s="13"/>
      <c r="R41" s="13"/>
      <c r="S41" s="13"/>
      <c r="T41" s="13"/>
      <c r="U41" s="13"/>
      <c r="V41" s="13"/>
      <c r="W41" s="13"/>
    </row>
    <row r="42" spans="1:30">
      <c r="A42" s="15" t="s">
        <v>69</v>
      </c>
      <c r="B42" s="13">
        <f>'Income - General'!C42+'Income - Fabric'!C43+'Income - FlowerFund'!C43+'Income - SSchoolFund'!C43+'Income - Guild'!C43+'Income - Organ'!C43+'Income - SfSFund'!C43+'Income - Benevolent'!C43+'Income - Friday'!C43</f>
        <v>1057.8</v>
      </c>
      <c r="C42" s="13">
        <f>'Income - General'!D42+'Income - Fabric'!D43+'Income - FlowerFund'!D43+'Income - SSchoolFund'!D43+'Income - Guild'!D43+'Income - Organ'!D43+'Income - SfSFund'!D43+'Income - Benevolent'!D43+'Income - Friday'!D43</f>
        <v>1351.5</v>
      </c>
      <c r="D42" s="13">
        <f>'Income - General'!E42+'Income - Fabric'!E43+'Income - FlowerFund'!E43+'Income - SSchoolFund'!E43+'Income - Guild'!E43+'Income - Organ'!E43+'Income - SfSFund'!E43+'Income - Benevolent'!E43+'Income - Friday'!E43</f>
        <v>1586.75</v>
      </c>
      <c r="E42" s="13">
        <f>'Income - General'!F42+'Income - Fabric'!F43+'Income - FlowerFund'!F43+'Income - SSchoolFund'!F43+'Income - Guild'!F43+'Income - Organ'!F43+'Income - SfSFund'!F43+'Income - Benevolent'!F43+'Income - Friday'!F43</f>
        <v>1695</v>
      </c>
      <c r="F42" s="13">
        <f>'Income - General'!G42+'Income - Fabric'!G43+'Income - FlowerFund'!G43+'Income - SSchoolFund'!G43+'Income - Guild'!G43+'Income - Organ'!G43+'Income - SfSFund'!G43+'Income - Benevolent'!G43+'Income - Friday'!G43</f>
        <v>1840.25</v>
      </c>
      <c r="G42" s="13">
        <f>'Income - General'!H42+'Income - Fabric'!H43+'Income - FlowerFund'!H43+'Income - SSchoolFund'!H43+'Income - Guild'!H43+'Income - Organ'!H43+'Income - SfSFund'!H43+'Income - Benevolent'!H43+'Income - Friday'!H43</f>
        <v>0</v>
      </c>
      <c r="H42" s="13">
        <f>'Income - General'!I42+'Income - Fabric'!I43+'Income - FlowerFund'!I43+'Income - SSchoolFund'!I43+'Income - Guild'!I43+'Income - Organ'!I43+'Income - SfSFund'!I43+'Income - Benevolent'!I43+'Income - Friday'!I43</f>
        <v>0</v>
      </c>
      <c r="I42" s="13">
        <f>'Income - General'!J42+'Income - Fabric'!J43+'Income - FlowerFund'!J43+'Income - SSchoolFund'!J43+'Income - Guild'!J43+'Income - Organ'!J43+'Income - SfSFund'!J43+'Income - Benevolent'!J43+'Income - Friday'!J43</f>
        <v>0</v>
      </c>
      <c r="J42" s="13">
        <f>'Income - General'!K42+'Income - Fabric'!K43+'Income - FlowerFund'!K43+'Income - SSchoolFund'!K43+'Income - Guild'!K43+'Income - Organ'!K43+'Income - SfSFund'!K43+'Income - Benevolent'!K43+'Income - Friday'!K43</f>
        <v>0</v>
      </c>
      <c r="K42" s="13">
        <f>'Income - General'!L42+'Income - Fabric'!L43+'Income - FlowerFund'!L43+'Income - SSchoolFund'!L43+'Income - Guild'!L43+'Income - Organ'!L43+'Income - SfSFund'!L43+'Income - Benevolent'!L43+'Income - Friday'!L43</f>
        <v>0</v>
      </c>
      <c r="L42" s="13">
        <f>'Income - General'!M42+'Income - Fabric'!M43+'Income - FlowerFund'!M43+'Income - SSchoolFund'!M43+'Income - Guild'!M43+'Income - Organ'!M43+'Income - SfSFund'!M43+'Income - Benevolent'!M43+'Income - Friday'!M43</f>
        <v>0</v>
      </c>
      <c r="M42" s="13">
        <f>'Income - General'!N42+'Income - Fabric'!N43+'Income - FlowerFund'!N43+'Income - SSchoolFund'!N43+'Income - Guild'!N43+'Income - Organ'!N43+'Income - SfSFund'!N43+'Income - Benevolent'!N43+'Income - Friday'!N43</f>
        <v>0</v>
      </c>
      <c r="N42" s="13">
        <f>SUM(B42:M42)</f>
        <v>7531.3</v>
      </c>
      <c r="O42" s="13"/>
      <c r="P42" s="13">
        <f>N42-O42</f>
        <v>7531.3</v>
      </c>
      <c r="Q42" s="13"/>
      <c r="R42" s="13"/>
      <c r="S42" s="13"/>
      <c r="T42" s="13"/>
      <c r="U42" s="13"/>
      <c r="V42" s="13"/>
      <c r="W42" s="13">
        <f>SUM(P42:V42)</f>
        <v>7531.3</v>
      </c>
      <c r="Y42" s="13">
        <f>SUMIF('Income - OverallBUD'!$C$4:$N$4,'Income - Overall'!$Y$2,'Income - OverallBUD'!$C42:$N42)</f>
        <v>7500</v>
      </c>
      <c r="Z42" s="13">
        <f>N42-Y42</f>
        <v>31.300000000000182</v>
      </c>
      <c r="AB42" s="13">
        <f ca="1">SUMIF('Income - OverallPY'!$B$4:$N$4,'Income - Overall'!$AB$2,'Income - OverallPY'!$B42:$M42)</f>
        <v>6872.43</v>
      </c>
      <c r="AC42" s="13">
        <f ca="1">N42-AB42</f>
        <v>658.86999999999989</v>
      </c>
      <c r="AD42" s="124">
        <f ca="1">IF(ISERROR((N42/AB42)-1),"-",(N42/AB42)-1)</f>
        <v>9.5871474864058337E-2</v>
      </c>
    </row>
    <row r="43" spans="1:30">
      <c r="A43" s="16" t="s">
        <v>70</v>
      </c>
      <c r="B43" s="27">
        <f>SUM(B42)</f>
        <v>1057.8</v>
      </c>
      <c r="C43" s="27">
        <f t="shared" ref="C43:AC43" si="14">SUM(C42)</f>
        <v>1351.5</v>
      </c>
      <c r="D43" s="27">
        <f t="shared" si="14"/>
        <v>1586.75</v>
      </c>
      <c r="E43" s="27">
        <f t="shared" si="14"/>
        <v>1695</v>
      </c>
      <c r="F43" s="27">
        <f t="shared" si="14"/>
        <v>1840.25</v>
      </c>
      <c r="G43" s="27">
        <f t="shared" si="14"/>
        <v>0</v>
      </c>
      <c r="H43" s="27">
        <f t="shared" si="14"/>
        <v>0</v>
      </c>
      <c r="I43" s="27">
        <f t="shared" si="14"/>
        <v>0</v>
      </c>
      <c r="J43" s="27">
        <f t="shared" si="14"/>
        <v>0</v>
      </c>
      <c r="K43" s="27">
        <f t="shared" si="14"/>
        <v>0</v>
      </c>
      <c r="L43" s="27">
        <f t="shared" si="14"/>
        <v>0</v>
      </c>
      <c r="M43" s="27">
        <f t="shared" si="14"/>
        <v>0</v>
      </c>
      <c r="N43" s="27">
        <f t="shared" si="14"/>
        <v>7531.3</v>
      </c>
      <c r="O43" s="27">
        <f t="shared" si="14"/>
        <v>0</v>
      </c>
      <c r="P43" s="27">
        <f t="shared" si="14"/>
        <v>7531.3</v>
      </c>
      <c r="Q43" s="27">
        <f t="shared" si="14"/>
        <v>0</v>
      </c>
      <c r="R43" s="27">
        <f t="shared" si="14"/>
        <v>0</v>
      </c>
      <c r="S43" s="27">
        <f t="shared" si="14"/>
        <v>0</v>
      </c>
      <c r="T43" s="27">
        <f>SUM(T42)</f>
        <v>0</v>
      </c>
      <c r="U43" s="27">
        <f>SUM(U42)</f>
        <v>0</v>
      </c>
      <c r="V43" s="27">
        <f t="shared" si="14"/>
        <v>0</v>
      </c>
      <c r="W43" s="27">
        <f t="shared" si="14"/>
        <v>7531.3</v>
      </c>
      <c r="Y43" s="27">
        <f t="shared" si="14"/>
        <v>7500</v>
      </c>
      <c r="Z43" s="27">
        <f t="shared" si="14"/>
        <v>31.300000000000182</v>
      </c>
      <c r="AB43" s="27">
        <f t="shared" ca="1" si="14"/>
        <v>6872.43</v>
      </c>
      <c r="AC43" s="27">
        <f t="shared" ca="1" si="14"/>
        <v>658.86999999999989</v>
      </c>
      <c r="AD43" s="135">
        <f ca="1">IF(ISERROR((N43/AB43)-1),"-",(N43/AB43)-1)</f>
        <v>9.5871474864058337E-2</v>
      </c>
    </row>
    <row r="44" spans="1:30">
      <c r="A44" s="15"/>
      <c r="B44" s="13"/>
      <c r="C44" s="13"/>
      <c r="D44" s="13"/>
      <c r="E44" s="13"/>
      <c r="F44" s="13"/>
      <c r="G44" s="13"/>
      <c r="H44" s="13"/>
      <c r="I44" s="13"/>
      <c r="J44" s="13"/>
      <c r="K44" s="13"/>
      <c r="L44" s="13"/>
      <c r="M44" s="13"/>
      <c r="N44" s="13"/>
      <c r="O44" s="13"/>
      <c r="P44" s="13"/>
      <c r="Q44" s="13"/>
      <c r="R44" s="13"/>
      <c r="S44" s="13"/>
      <c r="T44" s="13"/>
      <c r="U44" s="13"/>
      <c r="V44" s="13"/>
      <c r="W44" s="13"/>
    </row>
    <row r="45" spans="1:30">
      <c r="A45" s="40" t="s">
        <v>71</v>
      </c>
      <c r="B45" s="13"/>
      <c r="C45" s="13"/>
      <c r="D45" s="13"/>
      <c r="E45" s="13"/>
      <c r="F45" s="13"/>
      <c r="G45" s="13"/>
      <c r="H45" s="13"/>
      <c r="I45" s="13"/>
      <c r="J45" s="13"/>
      <c r="K45" s="13"/>
      <c r="L45" s="13"/>
      <c r="M45" s="13"/>
      <c r="N45" s="13"/>
      <c r="O45" s="13"/>
      <c r="P45" s="13"/>
      <c r="Q45" s="13"/>
      <c r="R45" s="13"/>
      <c r="S45" s="13"/>
      <c r="T45" s="13"/>
      <c r="U45" s="13"/>
      <c r="V45" s="13"/>
      <c r="W45" s="13"/>
    </row>
    <row r="46" spans="1:30">
      <c r="A46" s="15" t="s">
        <v>72</v>
      </c>
      <c r="B46" s="13">
        <f>'Income - General'!C46+'Income - Fabric'!C47+'Income - FlowerFund'!C47+'Income - SSchoolFund'!C47+'Income - Guild'!C47+'Income - Organ'!C47+'Income - SfSFund'!C47+'Income - Benevolent'!C47+'Income - Friday'!C47</f>
        <v>0</v>
      </c>
      <c r="C46" s="13">
        <f>'Income - General'!D46+'Income - Fabric'!D47+'Income - FlowerFund'!D47+'Income - SSchoolFund'!D47+'Income - Guild'!D47+'Income - Organ'!D47+'Income - SfSFund'!D47+'Income - Benevolent'!D47+'Income - Friday'!D47</f>
        <v>0</v>
      </c>
      <c r="D46" s="13">
        <f>'Income - General'!E46+'Income - Fabric'!E47+'Income - FlowerFund'!E47+'Income - SSchoolFund'!E47+'Income - Guild'!E47+'Income - Organ'!E47+'Income - SfSFund'!E47+'Income - Benevolent'!E47+'Income - Friday'!E47</f>
        <v>0</v>
      </c>
      <c r="E46" s="13">
        <f>'Income - General'!F46+'Income - Fabric'!F47+'Income - FlowerFund'!F47+'Income - SSchoolFund'!F47+'Income - Guild'!F47+'Income - Organ'!F47+'Income - SfSFund'!F47+'Income - Benevolent'!F47+'Income - Friday'!F47</f>
        <v>2544.92</v>
      </c>
      <c r="F46" s="13">
        <f>'Income - General'!G46+'Income - Fabric'!G47+'Income - FlowerFund'!G47+'Income - SSchoolFund'!G47+'Income - Guild'!G47+'Income - Organ'!G47+'Income - SfSFund'!G47+'Income - Benevolent'!G47+'Income - Friday'!G47</f>
        <v>1133.19</v>
      </c>
      <c r="G46" s="13">
        <f>'Income - General'!H46+'Income - Fabric'!H47+'Income - FlowerFund'!H47+'Income - SSchoolFund'!H47+'Income - Guild'!H47+'Income - Organ'!H47+'Income - SfSFund'!H47+'Income - Benevolent'!H47+'Income - Friday'!H47</f>
        <v>0</v>
      </c>
      <c r="H46" s="13">
        <f>'Income - General'!I46+'Income - Fabric'!I47+'Income - FlowerFund'!I47+'Income - SSchoolFund'!I47+'Income - Guild'!I47+'Income - Organ'!I47+'Income - SfSFund'!I47+'Income - Benevolent'!I47+'Income - Friday'!I47</f>
        <v>0</v>
      </c>
      <c r="I46" s="13">
        <f>'Income - General'!J46+'Income - Fabric'!J47+'Income - FlowerFund'!J47+'Income - SSchoolFund'!J47+'Income - Guild'!J47+'Income - Organ'!J47+'Income - SfSFund'!J47+'Income - Benevolent'!J47+'Income - Friday'!J47</f>
        <v>0</v>
      </c>
      <c r="J46" s="13">
        <f>'Income - General'!K46+'Income - Fabric'!K47+'Income - FlowerFund'!K47+'Income - SSchoolFund'!K47+'Income - Guild'!K47+'Income - Organ'!K47+'Income - SfSFund'!K47+'Income - Benevolent'!K47+'Income - Friday'!K47</f>
        <v>0</v>
      </c>
      <c r="K46" s="13">
        <f>'Income - General'!L46+'Income - Fabric'!L47+'Income - FlowerFund'!L47+'Income - SSchoolFund'!L47+'Income - Guild'!L47+'Income - Organ'!L47+'Income - SfSFund'!L47+'Income - Benevolent'!L47+'Income - Friday'!L47</f>
        <v>0</v>
      </c>
      <c r="L46" s="13">
        <f>'Income - General'!M46+'Income - Fabric'!M47+'Income - FlowerFund'!M47+'Income - SSchoolFund'!M47+'Income - Guild'!M47+'Income - Organ'!M47+'Income - SfSFund'!M47+'Income - Benevolent'!M47+'Income - Friday'!M47</f>
        <v>0</v>
      </c>
      <c r="M46" s="13">
        <f>'Income - General'!N46+'Income - Fabric'!N47+'Income - FlowerFund'!N47+'Income - SSchoolFund'!N47+'Income - Guild'!N47+'Income - Organ'!N47+'Income - SfSFund'!N47+'Income - Benevolent'!N47+'Income - Friday'!N47</f>
        <v>0</v>
      </c>
      <c r="N46" s="13">
        <f>SUM(B46:M46)</f>
        <v>3678.11</v>
      </c>
      <c r="O46" s="13"/>
      <c r="P46" s="13">
        <f>N46-O46</f>
        <v>3678.11</v>
      </c>
      <c r="Q46" s="13"/>
      <c r="R46" s="13"/>
      <c r="S46" s="13"/>
      <c r="T46" s="13"/>
      <c r="U46" s="13"/>
      <c r="V46" s="13"/>
      <c r="W46" s="13">
        <f>SUM(P46:V46)</f>
        <v>3678.11</v>
      </c>
      <c r="Y46" s="13">
        <f>SUMIF('Income - OverallBUD'!$C$4:$N$4,'Income - Overall'!$Y$2,'Income - OverallBUD'!$C46:$N46)</f>
        <v>1500</v>
      </c>
      <c r="Z46" s="13">
        <f>N46-Y46</f>
        <v>2178.11</v>
      </c>
      <c r="AB46" s="13">
        <f ca="1">SUMIF('Income - OverallPY'!$B$4:$N$4,'Income - Overall'!$AB$2,'Income - OverallPY'!$B46:$M46)</f>
        <v>4544.82</v>
      </c>
      <c r="AC46" s="13">
        <f ca="1">N46-AB46</f>
        <v>-866.70999999999958</v>
      </c>
      <c r="AD46" s="124">
        <f ca="1">IF(ISERROR((N46/AB46)-1),"-",(N46/AB46)-1)</f>
        <v>-0.19070282211396705</v>
      </c>
    </row>
    <row r="47" spans="1:30">
      <c r="A47" s="15" t="s">
        <v>73</v>
      </c>
      <c r="B47" s="13">
        <f>'Income - General'!C47+'Income - Fabric'!C48+'Income - FlowerFund'!C48+'Income - SSchoolFund'!C48+'Income - Guild'!C48+'Income - Organ'!C48+'Income - SfSFund'!C48+'Income - Benevolent'!C48+'Income - Friday'!C48</f>
        <v>33.840000000000003</v>
      </c>
      <c r="C47" s="13">
        <f>'Income - General'!D47+'Income - Fabric'!D48+'Income - FlowerFund'!D48+'Income - SSchoolFund'!D48+'Income - Guild'!D48+'Income - Organ'!D48+'Income - SfSFund'!D48+'Income - Benevolent'!D48+'Income - Friday'!D48</f>
        <v>22.42</v>
      </c>
      <c r="D47" s="13">
        <f>'Income - General'!E47+'Income - Fabric'!E48+'Income - FlowerFund'!E48+'Income - SSchoolFund'!E48+'Income - Guild'!E48+'Income - Organ'!E48+'Income - SfSFund'!E48+'Income - Benevolent'!E48+'Income - Friday'!E48</f>
        <v>17.399999999999999</v>
      </c>
      <c r="E47" s="13">
        <f>'Income - General'!F47+'Income - Fabric'!F48+'Income - FlowerFund'!F48+'Income - SSchoolFund'!F48+'Income - Guild'!F48+'Income - Organ'!F48+'Income - SfSFund'!F48+'Income - Benevolent'!F48+'Income - Friday'!F48</f>
        <v>12.34</v>
      </c>
      <c r="F47" s="13">
        <f>'Income - General'!G47+'Income - Fabric'!G48+'Income - FlowerFund'!G48+'Income - SSchoolFund'!G48+'Income - Guild'!G48+'Income - Organ'!G48+'Income - SfSFund'!G48+'Income - Benevolent'!G48+'Income - Friday'!G48</f>
        <v>19.05</v>
      </c>
      <c r="G47" s="13">
        <f>'Income - General'!H47+'Income - Fabric'!H48+'Income - FlowerFund'!H48+'Income - SSchoolFund'!H48+'Income - Guild'!H48+'Income - Organ'!H48+'Income - SfSFund'!H48+'Income - Benevolent'!H48+'Income - Friday'!H48</f>
        <v>0</v>
      </c>
      <c r="H47" s="13">
        <f>'Income - General'!I47+'Income - Fabric'!I48+'Income - FlowerFund'!I48+'Income - SSchoolFund'!I48+'Income - Guild'!I48+'Income - Organ'!I48+'Income - SfSFund'!I48+'Income - Benevolent'!I48+'Income - Friday'!I48</f>
        <v>0</v>
      </c>
      <c r="I47" s="13">
        <f>'Income - General'!J47+'Income - Fabric'!J48+'Income - FlowerFund'!J48+'Income - SSchoolFund'!J48+'Income - Guild'!J48+'Income - Organ'!J48+'Income - SfSFund'!J48+'Income - Benevolent'!J48+'Income - Friday'!J48</f>
        <v>0</v>
      </c>
      <c r="J47" s="13">
        <f>'Income - General'!K47+'Income - Fabric'!K48+'Income - FlowerFund'!K48+'Income - SSchoolFund'!K48+'Income - Guild'!K48+'Income - Organ'!K48+'Income - SfSFund'!K48+'Income - Benevolent'!K48+'Income - Friday'!K48</f>
        <v>0</v>
      </c>
      <c r="K47" s="13">
        <f>'Income - General'!L47+'Income - Fabric'!L48+'Income - FlowerFund'!L48+'Income - SSchoolFund'!L48+'Income - Guild'!L48+'Income - Organ'!L48+'Income - SfSFund'!L48+'Income - Benevolent'!L48+'Income - Friday'!L48</f>
        <v>0</v>
      </c>
      <c r="L47" s="13">
        <f>'Income - General'!M47+'Income - Fabric'!M48+'Income - FlowerFund'!M48+'Income - SSchoolFund'!M48+'Income - Guild'!M48+'Income - Organ'!M48+'Income - SfSFund'!M48+'Income - Benevolent'!M48+'Income - Friday'!M48</f>
        <v>0</v>
      </c>
      <c r="M47" s="13">
        <f>'Income - General'!N47+'Income - Fabric'!N48+'Income - FlowerFund'!N48+'Income - SSchoolFund'!N48+'Income - Guild'!N48+'Income - Organ'!N48+'Income - SfSFund'!N48+'Income - Benevolent'!N48+'Income - Friday'!N48</f>
        <v>0</v>
      </c>
      <c r="N47" s="13">
        <f>SUM(B47:M47)</f>
        <v>105.05</v>
      </c>
      <c r="O47" s="13"/>
      <c r="P47" s="13">
        <f>N47-O47</f>
        <v>105.05</v>
      </c>
      <c r="Q47" s="13"/>
      <c r="R47" s="13"/>
      <c r="S47" s="13"/>
      <c r="T47" s="13"/>
      <c r="U47" s="13"/>
      <c r="V47" s="13"/>
      <c r="W47" s="13">
        <f>SUM(P47:V47)</f>
        <v>105.05</v>
      </c>
      <c r="Y47" s="13">
        <f>SUMIF('Income - OverallBUD'!$C$4:$N$4,'Income - Overall'!$Y$2,'Income - OverallBUD'!$C47:$N47)</f>
        <v>0</v>
      </c>
      <c r="Z47" s="13">
        <f>N47-Y47</f>
        <v>105.05</v>
      </c>
      <c r="AB47" s="13">
        <f ca="1">SUMIF('Income - OverallPY'!$B$4:$N$4,'Income - Overall'!$AB$2,'Income - OverallPY'!$B47:$M47)</f>
        <v>278.36</v>
      </c>
      <c r="AC47" s="13">
        <f ca="1">N47-AB47</f>
        <v>-173.31</v>
      </c>
      <c r="AD47" s="124">
        <f ca="1">IF(ISERROR((N47/AB47)-1),"-",(N47/AB47)-1)</f>
        <v>-0.62261100732863928</v>
      </c>
    </row>
    <row r="48" spans="1:30">
      <c r="A48" s="16" t="s">
        <v>74</v>
      </c>
      <c r="B48" s="27">
        <f>SUM(B46:B47)</f>
        <v>33.840000000000003</v>
      </c>
      <c r="C48" s="27">
        <f t="shared" ref="C48:N48" si="15">SUM(C46:C47)</f>
        <v>22.42</v>
      </c>
      <c r="D48" s="27">
        <f t="shared" si="15"/>
        <v>17.399999999999999</v>
      </c>
      <c r="E48" s="27">
        <f t="shared" si="15"/>
        <v>2557.2600000000002</v>
      </c>
      <c r="F48" s="27">
        <f t="shared" si="15"/>
        <v>1152.24</v>
      </c>
      <c r="G48" s="27">
        <f t="shared" si="15"/>
        <v>0</v>
      </c>
      <c r="H48" s="27">
        <f t="shared" si="15"/>
        <v>0</v>
      </c>
      <c r="I48" s="27">
        <f t="shared" si="15"/>
        <v>0</v>
      </c>
      <c r="J48" s="27">
        <f t="shared" si="15"/>
        <v>0</v>
      </c>
      <c r="K48" s="27">
        <f t="shared" si="15"/>
        <v>0</v>
      </c>
      <c r="L48" s="27">
        <f t="shared" si="15"/>
        <v>0</v>
      </c>
      <c r="M48" s="27">
        <f t="shared" si="15"/>
        <v>0</v>
      </c>
      <c r="N48" s="27">
        <f t="shared" si="15"/>
        <v>3783.1600000000003</v>
      </c>
      <c r="O48" s="27">
        <f>SUM(O46:O47)</f>
        <v>0</v>
      </c>
      <c r="P48" s="27">
        <f>SUM(P46:P47)</f>
        <v>3783.1600000000003</v>
      </c>
      <c r="Q48" s="27">
        <f t="shared" ref="Q48:W48" si="16">SUM(Q46:Q47)</f>
        <v>0</v>
      </c>
      <c r="R48" s="27">
        <f t="shared" si="16"/>
        <v>0</v>
      </c>
      <c r="S48" s="27">
        <f t="shared" si="16"/>
        <v>0</v>
      </c>
      <c r="T48" s="27">
        <f>SUM(T46:T47)</f>
        <v>0</v>
      </c>
      <c r="U48" s="27">
        <f>SUM(U46:U47)</f>
        <v>0</v>
      </c>
      <c r="V48" s="27">
        <f t="shared" si="16"/>
        <v>0</v>
      </c>
      <c r="W48" s="27">
        <f t="shared" si="16"/>
        <v>3783.1600000000003</v>
      </c>
      <c r="Y48" s="27">
        <f>SUM(Y46:Y47)</f>
        <v>1500</v>
      </c>
      <c r="Z48" s="27">
        <f>SUM(Z46:Z47)</f>
        <v>2283.1600000000003</v>
      </c>
      <c r="AB48" s="27">
        <f ca="1">SUM(AB46:AB47)</f>
        <v>4823.1799999999994</v>
      </c>
      <c r="AC48" s="27">
        <f ca="1">SUM(AC46:AC47)</f>
        <v>-1040.0199999999995</v>
      </c>
      <c r="AD48" s="135">
        <f ca="1">IF(ISERROR((N48/AB48)-1),"-",(N48/AB48)-1)</f>
        <v>-0.21562952243125888</v>
      </c>
    </row>
    <row r="49" spans="1:32">
      <c r="B49" s="13"/>
      <c r="C49" s="13"/>
      <c r="D49" s="13"/>
      <c r="E49" s="13"/>
      <c r="F49" s="13"/>
      <c r="G49" s="13"/>
      <c r="H49" s="13"/>
      <c r="I49" s="13"/>
      <c r="J49" s="13"/>
      <c r="K49" s="13"/>
      <c r="L49" s="13"/>
      <c r="M49" s="13"/>
      <c r="N49" s="13"/>
      <c r="O49" s="13"/>
      <c r="P49" s="13"/>
      <c r="Q49" s="13"/>
      <c r="R49" s="13"/>
      <c r="S49" s="13"/>
      <c r="T49" s="13"/>
      <c r="U49" s="13"/>
      <c r="V49" s="13"/>
      <c r="W49" s="13"/>
      <c r="AC49" s="13"/>
    </row>
    <row r="50" spans="1:32" ht="14.65" thickBot="1">
      <c r="A50" s="7" t="s">
        <v>75</v>
      </c>
      <c r="B50" s="28">
        <f>B48+B43+B39</f>
        <v>12075.479999999998</v>
      </c>
      <c r="C50" s="28">
        <f t="shared" ref="C50:N50" si="17">C48+C43+C39</f>
        <v>11566.89</v>
      </c>
      <c r="D50" s="28">
        <f t="shared" si="17"/>
        <v>19777.240000000002</v>
      </c>
      <c r="E50" s="28">
        <f t="shared" si="17"/>
        <v>16428.419999999998</v>
      </c>
      <c r="F50" s="28">
        <f t="shared" si="17"/>
        <v>18243.96</v>
      </c>
      <c r="G50" s="28">
        <f t="shared" si="17"/>
        <v>0</v>
      </c>
      <c r="H50" s="28">
        <f t="shared" si="17"/>
        <v>0</v>
      </c>
      <c r="I50" s="28">
        <f t="shared" si="17"/>
        <v>0</v>
      </c>
      <c r="J50" s="28">
        <f t="shared" si="17"/>
        <v>0</v>
      </c>
      <c r="K50" s="28">
        <f t="shared" si="17"/>
        <v>0</v>
      </c>
      <c r="L50" s="28">
        <f t="shared" si="17"/>
        <v>0</v>
      </c>
      <c r="M50" s="28">
        <f t="shared" si="17"/>
        <v>0</v>
      </c>
      <c r="N50" s="28">
        <f t="shared" si="17"/>
        <v>78091.990000000005</v>
      </c>
      <c r="O50" s="28">
        <f>O48+O43+O39</f>
        <v>0</v>
      </c>
      <c r="P50" s="28">
        <f>P48+P43+P39</f>
        <v>78091.990000000005</v>
      </c>
      <c r="Q50" s="28">
        <f t="shared" ref="Q50:W50" si="18">Q48+Q43+Q39</f>
        <v>0</v>
      </c>
      <c r="R50" s="28">
        <f t="shared" si="18"/>
        <v>0</v>
      </c>
      <c r="S50" s="28">
        <f t="shared" si="18"/>
        <v>0</v>
      </c>
      <c r="T50" s="28">
        <f>T48+T43+T39</f>
        <v>0</v>
      </c>
      <c r="U50" s="28">
        <f>U48+U43+U39</f>
        <v>0</v>
      </c>
      <c r="V50" s="28">
        <f t="shared" si="18"/>
        <v>0</v>
      </c>
      <c r="W50" s="28">
        <f t="shared" si="18"/>
        <v>78091.990000000005</v>
      </c>
      <c r="Y50" s="28">
        <f>Y48+Y43+Y39</f>
        <v>70900</v>
      </c>
      <c r="Z50" s="28">
        <f>Z48+Z43+Z39</f>
        <v>7191.99</v>
      </c>
      <c r="AB50" s="28">
        <f ca="1">AB48+AB43+AB39</f>
        <v>75287.149999999994</v>
      </c>
      <c r="AC50" s="28">
        <f ca="1">AC48+AC43+AC39</f>
        <v>2804.8399999999983</v>
      </c>
      <c r="AD50" s="126">
        <f ca="1">IF(ISERROR((N50/AB50)-1),"-",(N50/AB50)-1)</f>
        <v>3.7255228813947827E-2</v>
      </c>
    </row>
    <row r="51" spans="1:32">
      <c r="B51" s="13"/>
      <c r="C51" s="13"/>
      <c r="D51" s="13"/>
      <c r="E51" s="13"/>
      <c r="F51" s="13"/>
      <c r="G51" s="13"/>
      <c r="H51" s="13"/>
      <c r="I51" s="13"/>
      <c r="J51" s="13"/>
      <c r="K51" s="13"/>
      <c r="L51" s="13"/>
      <c r="M51" s="13"/>
      <c r="N51" s="13"/>
      <c r="O51" s="13"/>
      <c r="P51" s="13"/>
      <c r="Q51" s="13"/>
      <c r="R51" s="13"/>
      <c r="S51" s="13"/>
      <c r="T51" s="13"/>
      <c r="U51" s="13"/>
      <c r="V51" s="13"/>
      <c r="W51" s="13"/>
    </row>
    <row r="52" spans="1:32">
      <c r="A52" s="1" t="s">
        <v>76</v>
      </c>
      <c r="B52" s="13"/>
      <c r="C52" s="13"/>
      <c r="D52" s="13"/>
      <c r="E52" s="13"/>
      <c r="F52" s="13"/>
      <c r="G52" s="13"/>
      <c r="H52" s="13"/>
      <c r="I52" s="13"/>
      <c r="J52" s="13"/>
      <c r="K52" s="13"/>
      <c r="L52" s="13"/>
      <c r="M52" s="13"/>
      <c r="N52" s="13"/>
      <c r="O52" s="13"/>
      <c r="P52" s="13"/>
      <c r="Q52" s="13"/>
      <c r="R52" s="13"/>
      <c r="S52" s="13"/>
      <c r="T52" s="13"/>
      <c r="U52" s="13"/>
      <c r="V52" s="13"/>
      <c r="W52" s="13"/>
    </row>
    <row r="53" spans="1:32">
      <c r="A53" s="15" t="s">
        <v>77</v>
      </c>
      <c r="B53" s="13">
        <f>'Income - General'!C53+'Income - Fabric'!C54+'Income - FlowerFund'!C54+'Income - SSchoolFund'!C54+'Income - Guild'!C54+'Income - Organ'!C54+'Income - SfSFund'!C54+'Income - Benevolent'!C54+'Income - Friday'!C54</f>
        <v>310</v>
      </c>
      <c r="C53" s="13">
        <f>'Income - General'!D53+'Income - Fabric'!D54+'Income - FlowerFund'!D54+'Income - SSchoolFund'!D54+'Income - Guild'!D54+'Income - Organ'!D54+'Income - SfSFund'!D54+'Income - Benevolent'!D54+'Income - Friday'!D54</f>
        <v>0</v>
      </c>
      <c r="D53" s="13">
        <f>'Income - General'!E53+'Income - Fabric'!E54+'Income - FlowerFund'!E54+'Income - SSchoolFund'!E54+'Income - Guild'!E54+'Income - Organ'!E54+'Income - SfSFund'!E54+'Income - Benevolent'!E54+'Income - Friday'!E54</f>
        <v>0</v>
      </c>
      <c r="E53" s="13">
        <f>'Income - General'!F53+'Income - Fabric'!F54+'Income - FlowerFund'!F54+'Income - SSchoolFund'!F54+'Income - Guild'!F54+'Income - Organ'!F54+'Income - SfSFund'!F54+'Income - Benevolent'!F54+'Income - Friday'!F54</f>
        <v>0</v>
      </c>
      <c r="F53" s="13">
        <f>'Income - General'!G53+'Income - Fabric'!G54+'Income - FlowerFund'!G54+'Income - SSchoolFund'!G54+'Income - Guild'!G54+'Income - Organ'!G54+'Income - SfSFund'!G54+'Income - Benevolent'!G54+'Income - Friday'!G54</f>
        <v>0</v>
      </c>
      <c r="G53" s="13">
        <f>'Income - General'!H53+'Income - Fabric'!H54+'Income - FlowerFund'!H54+'Income - SSchoolFund'!H54+'Income - Guild'!H54+'Income - Organ'!H54+'Income - SfSFund'!H54+'Income - Benevolent'!H54+'Income - Friday'!H54</f>
        <v>0</v>
      </c>
      <c r="H53" s="13">
        <f>'Income - General'!I53+'Income - Fabric'!I54+'Income - FlowerFund'!I54+'Income - SSchoolFund'!I54+'Income - Guild'!I54+'Income - Organ'!I54+'Income - SfSFund'!I54+'Income - Benevolent'!I54+'Income - Friday'!I54</f>
        <v>0</v>
      </c>
      <c r="I53" s="13">
        <f>'Income - General'!J53+'Income - Fabric'!J54+'Income - FlowerFund'!J54+'Income - SSchoolFund'!J54+'Income - Guild'!J54+'Income - Organ'!J54+'Income - SfSFund'!J54+'Income - Benevolent'!J54+'Income - Friday'!J54</f>
        <v>0</v>
      </c>
      <c r="J53" s="13">
        <f>'Income - General'!K53+'Income - Fabric'!K54+'Income - FlowerFund'!K54+'Income - SSchoolFund'!K54+'Income - Guild'!K54+'Income - Organ'!K54+'Income - SfSFund'!K54+'Income - Benevolent'!K54+'Income - Friday'!K54</f>
        <v>0</v>
      </c>
      <c r="K53" s="13">
        <f>'Income - General'!L53+'Income - Fabric'!L54+'Income - FlowerFund'!L54+'Income - SSchoolFund'!L54+'Income - Guild'!L54+'Income - Organ'!L54+'Income - SfSFund'!L54+'Income - Benevolent'!L54+'Income - Friday'!L54</f>
        <v>0</v>
      </c>
      <c r="L53" s="13">
        <f>'Income - General'!M53+'Income - Fabric'!M54+'Income - FlowerFund'!M54+'Income - SSchoolFund'!M54+'Income - Guild'!M54+'Income - Organ'!M54+'Income - SfSFund'!M54+'Income - Benevolent'!M54+'Income - Friday'!M54</f>
        <v>0</v>
      </c>
      <c r="M53" s="13">
        <f>'Income - General'!N53+'Income - Fabric'!N54+'Income - FlowerFund'!N54+'Income - SSchoolFund'!N54+'Income - Guild'!N54+'Income - Organ'!N54+'Income - SfSFund'!N54+'Income - Benevolent'!N54+'Income - Friday'!N54</f>
        <v>0</v>
      </c>
      <c r="N53" s="13">
        <f t="shared" ref="N53:N57" si="19">SUM(B53:M53)</f>
        <v>310</v>
      </c>
      <c r="O53" s="13"/>
      <c r="P53" s="13">
        <f t="shared" ref="P53:P57" si="20">N53-O53</f>
        <v>310</v>
      </c>
      <c r="Q53" s="13"/>
      <c r="R53" s="13"/>
      <c r="S53" s="13"/>
      <c r="T53" s="13"/>
      <c r="U53" s="13"/>
      <c r="V53" s="13"/>
      <c r="W53" s="13">
        <f t="shared" ref="W53:W57" si="21">SUM(P53:V53)</f>
        <v>310</v>
      </c>
      <c r="Y53" s="13">
        <f>SUMIF('Income - OverallBUD'!$C$4:$N$4,'Income - Overall'!$Y$2,'Income - OverallBUD'!$C53:$N53)</f>
        <v>850</v>
      </c>
      <c r="Z53" s="13">
        <f t="shared" ref="Z53:Z57" si="22">N53-Y53</f>
        <v>-540</v>
      </c>
      <c r="AB53" s="13">
        <f ca="1">SUMIF('Income - OverallPY'!$B$4:$N$4,'Income - Overall'!$AB$2,'Income - OverallPY'!$B53:$M53)</f>
        <v>600</v>
      </c>
      <c r="AC53" s="13">
        <f t="shared" ref="AC53:AC57" ca="1" si="23">N53-AB53</f>
        <v>-290</v>
      </c>
      <c r="AD53" s="124">
        <f t="shared" ref="AD53:AD58" ca="1" si="24">IF(ISERROR((N53/AB53)-1),"-",(N53/AB53)-1)</f>
        <v>-0.48333333333333328</v>
      </c>
    </row>
    <row r="54" spans="1:32">
      <c r="A54" s="15" t="s">
        <v>78</v>
      </c>
      <c r="B54" s="13">
        <f>'Income - General'!C54+'Income - Fabric'!C55+'Income - FlowerFund'!C55+'Income - SSchoolFund'!C55+'Income - Guild'!C55+'Income - Organ'!C55+'Income - SfSFund'!C55+'Income - Benevolent'!C55+'Income - Friday'!C55</f>
        <v>0</v>
      </c>
      <c r="C54" s="13">
        <f>'Income - General'!D54+'Income - Fabric'!D55+'Income - FlowerFund'!D55+'Income - SSchoolFund'!D55+'Income - Guild'!D55+'Income - Organ'!D55+'Income - SfSFund'!D55+'Income - Benevolent'!D55+'Income - Friday'!D55</f>
        <v>0</v>
      </c>
      <c r="D54" s="13">
        <f>'Income - General'!E54+'Income - Fabric'!E55+'Income - FlowerFund'!E55+'Income - SSchoolFund'!E55+'Income - Guild'!E55+'Income - Organ'!E55+'Income - SfSFund'!E55+'Income - Benevolent'!E55+'Income - Friday'!E55</f>
        <v>0</v>
      </c>
      <c r="E54" s="13">
        <f>'Income - General'!F54+'Income - Fabric'!F55+'Income - FlowerFund'!F55+'Income - SSchoolFund'!F55+'Income - Guild'!F55+'Income - Organ'!F55+'Income - SfSFund'!F55+'Income - Benevolent'!F55+'Income - Friday'!F55</f>
        <v>0</v>
      </c>
      <c r="F54" s="13">
        <f>'Income - General'!G54+'Income - Fabric'!G55+'Income - FlowerFund'!G55+'Income - SSchoolFund'!G55+'Income - Guild'!G55+'Income - Organ'!G55+'Income - SfSFund'!G55+'Income - Benevolent'!G55+'Income - Friday'!G55</f>
        <v>0</v>
      </c>
      <c r="G54" s="13">
        <f>'Income - General'!H54+'Income - Fabric'!H55+'Income - FlowerFund'!H55+'Income - SSchoolFund'!H55+'Income - Guild'!H55+'Income - Organ'!H55+'Income - SfSFund'!H55+'Income - Benevolent'!H55+'Income - Friday'!H55</f>
        <v>0</v>
      </c>
      <c r="H54" s="13">
        <f>'Income - General'!I54+'Income - Fabric'!I55+'Income - FlowerFund'!I55+'Income - SSchoolFund'!I55+'Income - Guild'!I55+'Income - Organ'!I55+'Income - SfSFund'!I55+'Income - Benevolent'!I55+'Income - Friday'!I55</f>
        <v>0</v>
      </c>
      <c r="I54" s="13">
        <f>'Income - General'!J54+'Income - Fabric'!J55+'Income - FlowerFund'!J55+'Income - SSchoolFund'!J55+'Income - Guild'!J55+'Income - Organ'!J55+'Income - SfSFund'!J55+'Income - Benevolent'!J55+'Income - Friday'!J55</f>
        <v>0</v>
      </c>
      <c r="J54" s="13">
        <f>'Income - General'!K54+'Income - Fabric'!K55+'Income - FlowerFund'!K55+'Income - SSchoolFund'!K55+'Income - Guild'!K55+'Income - Organ'!K55+'Income - SfSFund'!K55+'Income - Benevolent'!K55+'Income - Friday'!K55</f>
        <v>0</v>
      </c>
      <c r="K54" s="13">
        <f>'Income - General'!L54+'Income - Fabric'!L55+'Income - FlowerFund'!L55+'Income - SSchoolFund'!L55+'Income - Guild'!L55+'Income - Organ'!L55+'Income - SfSFund'!L55+'Income - Benevolent'!L55+'Income - Friday'!L55</f>
        <v>0</v>
      </c>
      <c r="L54" s="13">
        <f>'Income - General'!M54+'Income - Fabric'!M55+'Income - FlowerFund'!M55+'Income - SSchoolFund'!M55+'Income - Guild'!M55+'Income - Organ'!M55+'Income - SfSFund'!M55+'Income - Benevolent'!M55+'Income - Friday'!M55</f>
        <v>0</v>
      </c>
      <c r="M54" s="13">
        <f>'Income - General'!N54+'Income - Fabric'!N55+'Income - FlowerFund'!N55+'Income - SSchoolFund'!N55+'Income - Guild'!N55+'Income - Organ'!N55+'Income - SfSFund'!N55+'Income - Benevolent'!N55+'Income - Friday'!N55</f>
        <v>0</v>
      </c>
      <c r="N54" s="13">
        <f t="shared" si="19"/>
        <v>0</v>
      </c>
      <c r="O54" s="13"/>
      <c r="P54" s="13">
        <f t="shared" si="20"/>
        <v>0</v>
      </c>
      <c r="Q54" s="13"/>
      <c r="R54" s="13"/>
      <c r="S54" s="13"/>
      <c r="T54" s="13"/>
      <c r="U54" s="13"/>
      <c r="V54" s="13"/>
      <c r="W54" s="13">
        <f t="shared" si="21"/>
        <v>0</v>
      </c>
      <c r="Y54" s="13">
        <f>SUMIF('Income - OverallBUD'!$C$4:$N$4,'Income - Overall'!$Y$2,'Income - OverallBUD'!$C54:$N54)</f>
        <v>0</v>
      </c>
      <c r="Z54" s="13">
        <f t="shared" si="22"/>
        <v>0</v>
      </c>
      <c r="AB54" s="13">
        <f ca="1">SUMIF('Income - OverallPY'!$B$4:$N$4,'Income - Overall'!$AB$2,'Income - OverallPY'!$B54:$M54)</f>
        <v>0</v>
      </c>
      <c r="AC54" s="13">
        <f t="shared" ca="1" si="23"/>
        <v>0</v>
      </c>
      <c r="AD54" s="124" t="str">
        <f t="shared" ca="1" si="24"/>
        <v>-</v>
      </c>
    </row>
    <row r="55" spans="1:32">
      <c r="A55" s="15" t="s">
        <v>79</v>
      </c>
      <c r="B55" s="13">
        <f>'Income - General'!C55+'Income - Fabric'!C56+'Income - FlowerFund'!C56+'Income - SSchoolFund'!C56+'Income - Guild'!C56+'Income - Organ'!C56+'Income - SfSFund'!C56+'Income - Benevolent'!C56+'Income - Friday'!C56</f>
        <v>0</v>
      </c>
      <c r="C55" s="13">
        <f>'Income - General'!D55+'Income - Fabric'!D56+'Income - FlowerFund'!D56+'Income - SSchoolFund'!D56+'Income - Guild'!D56+'Income - Organ'!D56+'Income - SfSFund'!D56+'Income - Benevolent'!D56+'Income - Friday'!D56</f>
        <v>0</v>
      </c>
      <c r="D55" s="13">
        <f>'Income - General'!E55+'Income - Fabric'!E56+'Income - FlowerFund'!E56+'Income - SSchoolFund'!E56+'Income - Guild'!E56+'Income - Organ'!E56+'Income - SfSFund'!E56+'Income - Benevolent'!E56+'Income - Friday'!E56</f>
        <v>0</v>
      </c>
      <c r="E55" s="13">
        <f>'Income - General'!F55+'Income - Fabric'!F56+'Income - FlowerFund'!F56+'Income - SSchoolFund'!F56+'Income - Guild'!F56+'Income - Organ'!F56+'Income - SfSFund'!F56+'Income - Benevolent'!F56+'Income - Friday'!F56</f>
        <v>0</v>
      </c>
      <c r="F55" s="13">
        <f>'Income - General'!G55+'Income - Fabric'!G56+'Income - FlowerFund'!G56+'Income - SSchoolFund'!G56+'Income - Guild'!G56+'Income - Organ'!G56+'Income - SfSFund'!G56+'Income - Benevolent'!G56+'Income - Friday'!G56</f>
        <v>0</v>
      </c>
      <c r="G55" s="13">
        <f>'Income - General'!H55+'Income - Fabric'!H56+'Income - FlowerFund'!H56+'Income - SSchoolFund'!H56+'Income - Guild'!H56+'Income - Organ'!H56+'Income - SfSFund'!H56+'Income - Benevolent'!H56+'Income - Friday'!H56</f>
        <v>0</v>
      </c>
      <c r="H55" s="13">
        <f>'Income - General'!I55+'Income - Fabric'!I56+'Income - FlowerFund'!I56+'Income - SSchoolFund'!I56+'Income - Guild'!I56+'Income - Organ'!I56+'Income - SfSFund'!I56+'Income - Benevolent'!I56+'Income - Friday'!I56</f>
        <v>0</v>
      </c>
      <c r="I55" s="13">
        <f>'Income - General'!J55+'Income - Fabric'!J56+'Income - FlowerFund'!J56+'Income - SSchoolFund'!J56+'Income - Guild'!J56+'Income - Organ'!J56+'Income - SfSFund'!J56+'Income - Benevolent'!J56+'Income - Friday'!J56</f>
        <v>0</v>
      </c>
      <c r="J55" s="13">
        <f>'Income - General'!K55+'Income - Fabric'!K56+'Income - FlowerFund'!K56+'Income - SSchoolFund'!K56+'Income - Guild'!K56+'Income - Organ'!K56+'Income - SfSFund'!K56+'Income - Benevolent'!K56+'Income - Friday'!K56</f>
        <v>0</v>
      </c>
      <c r="K55" s="13">
        <f>'Income - General'!L55+'Income - Fabric'!L56+'Income - FlowerFund'!L56+'Income - SSchoolFund'!L56+'Income - Guild'!L56+'Income - Organ'!L56+'Income - SfSFund'!L56+'Income - Benevolent'!L56+'Income - Friday'!L56</f>
        <v>0</v>
      </c>
      <c r="L55" s="13">
        <f>'Income - General'!M55+'Income - Fabric'!M56+'Income - FlowerFund'!M56+'Income - SSchoolFund'!M56+'Income - Guild'!M56+'Income - Organ'!M56+'Income - SfSFund'!M56+'Income - Benevolent'!M56+'Income - Friday'!M56</f>
        <v>0</v>
      </c>
      <c r="M55" s="13">
        <f>'Income - General'!N55+'Income - Fabric'!N56+'Income - FlowerFund'!N56+'Income - SSchoolFund'!N56+'Income - Guild'!N56+'Income - Organ'!N56+'Income - SfSFund'!N56+'Income - Benevolent'!N56+'Income - Friday'!N56</f>
        <v>0</v>
      </c>
      <c r="N55" s="13">
        <f t="shared" si="19"/>
        <v>0</v>
      </c>
      <c r="O55" s="13"/>
      <c r="P55" s="13">
        <f t="shared" si="20"/>
        <v>0</v>
      </c>
      <c r="Q55" s="13"/>
      <c r="R55" s="13"/>
      <c r="S55" s="13"/>
      <c r="T55" s="13"/>
      <c r="U55" s="13"/>
      <c r="V55" s="13"/>
      <c r="W55" s="13">
        <f t="shared" si="21"/>
        <v>0</v>
      </c>
      <c r="Y55" s="13">
        <f>SUMIF('Income - OverallBUD'!$C$4:$N$4,'Income - Overall'!$Y$2,'Income - OverallBUD'!$C55:$N55)</f>
        <v>500</v>
      </c>
      <c r="Z55" s="13">
        <f t="shared" si="22"/>
        <v>-500</v>
      </c>
      <c r="AB55" s="13">
        <f ca="1">SUMIF('Income - OverallPY'!$B$4:$N$4,'Income - Overall'!$AB$2,'Income - OverallPY'!$B55:$M55)</f>
        <v>0</v>
      </c>
      <c r="AC55" s="13">
        <f t="shared" ca="1" si="23"/>
        <v>0</v>
      </c>
      <c r="AD55" s="124" t="str">
        <f t="shared" ca="1" si="24"/>
        <v>-</v>
      </c>
    </row>
    <row r="56" spans="1:32">
      <c r="A56" s="15" t="s">
        <v>80</v>
      </c>
      <c r="B56" s="13">
        <f>'Income - General'!C56+'Income - Fabric'!C57+'Income - FlowerFund'!C57+'Income - SSchoolFund'!C57+'Income - Guild'!C57+'Income - Organ'!C57+'Income - SfSFund'!C57+'Income - Benevolent'!C57+'Income - Friday'!C57</f>
        <v>0</v>
      </c>
      <c r="C56" s="13">
        <f>'Income - General'!D56+'Income - Fabric'!D57+'Income - FlowerFund'!D57+'Income - SSchoolFund'!D57+'Income - Guild'!D57+'Income - Organ'!D57+'Income - SfSFund'!D57+'Income - Benevolent'!D57+'Income - Friday'!D57</f>
        <v>0</v>
      </c>
      <c r="D56" s="13">
        <f>'Income - General'!E56+'Income - Fabric'!E57+'Income - FlowerFund'!E57+'Income - SSchoolFund'!E57+'Income - Guild'!E57+'Income - Organ'!E57+'Income - SfSFund'!E57+'Income - Benevolent'!E57+'Income - Friday'!E57</f>
        <v>0</v>
      </c>
      <c r="E56" s="13">
        <f>'Income - General'!F56+'Income - Fabric'!F57+'Income - FlowerFund'!F57+'Income - SSchoolFund'!F57+'Income - Guild'!F57+'Income - Organ'!F57+'Income - SfSFund'!F57+'Income - Benevolent'!F57+'Income - Friday'!F57</f>
        <v>0</v>
      </c>
      <c r="F56" s="13">
        <f>'Income - General'!G56+'Income - Fabric'!G57+'Income - FlowerFund'!G57+'Income - SSchoolFund'!G57+'Income - Guild'!G57+'Income - Organ'!G57+'Income - SfSFund'!G57+'Income - Benevolent'!G57+'Income - Friday'!G57</f>
        <v>0</v>
      </c>
      <c r="G56" s="13">
        <f>'Income - General'!H56+'Income - Fabric'!H57+'Income - FlowerFund'!H57+'Income - SSchoolFund'!H57+'Income - Guild'!H57+'Income - Organ'!H57+'Income - SfSFund'!H57+'Income - Benevolent'!H57+'Income - Friday'!H57</f>
        <v>0</v>
      </c>
      <c r="H56" s="13">
        <f>'Income - General'!I56+'Income - Fabric'!I57+'Income - FlowerFund'!I57+'Income - SSchoolFund'!I57+'Income - Guild'!I57+'Income - Organ'!I57+'Income - SfSFund'!I57+'Income - Benevolent'!I57+'Income - Friday'!I57</f>
        <v>0</v>
      </c>
      <c r="I56" s="13">
        <f>'Income - General'!J56+'Income - Fabric'!J57+'Income - FlowerFund'!J57+'Income - SSchoolFund'!J57+'Income - Guild'!J57+'Income - Organ'!J57+'Income - SfSFund'!J57+'Income - Benevolent'!J57+'Income - Friday'!J57</f>
        <v>0</v>
      </c>
      <c r="J56" s="13">
        <f>'Income - General'!K56+'Income - Fabric'!K57+'Income - FlowerFund'!K57+'Income - SSchoolFund'!K57+'Income - Guild'!K57+'Income - Organ'!K57+'Income - SfSFund'!K57+'Income - Benevolent'!K57+'Income - Friday'!K57</f>
        <v>0</v>
      </c>
      <c r="K56" s="13">
        <f>'Income - General'!L56+'Income - Fabric'!L57+'Income - FlowerFund'!L57+'Income - SSchoolFund'!L57+'Income - Guild'!L57+'Income - Organ'!L57+'Income - SfSFund'!L57+'Income - Benevolent'!L57+'Income - Friday'!L57</f>
        <v>0</v>
      </c>
      <c r="L56" s="13">
        <f>'Income - General'!M56+'Income - Fabric'!M57+'Income - FlowerFund'!M57+'Income - SSchoolFund'!M57+'Income - Guild'!M57+'Income - Organ'!M57+'Income - SfSFund'!M57+'Income - Benevolent'!M57+'Income - Friday'!M57</f>
        <v>0</v>
      </c>
      <c r="M56" s="13">
        <f>'Income - General'!N56+'Income - Fabric'!N57+'Income - FlowerFund'!N57+'Income - SSchoolFund'!N57+'Income - Guild'!N57+'Income - Organ'!N57+'Income - SfSFund'!N57+'Income - Benevolent'!N57+'Income - Friday'!N57</f>
        <v>0</v>
      </c>
      <c r="N56" s="13">
        <f t="shared" si="19"/>
        <v>0</v>
      </c>
      <c r="O56" s="13"/>
      <c r="P56" s="13">
        <f t="shared" si="20"/>
        <v>0</v>
      </c>
      <c r="Q56" s="13"/>
      <c r="R56" s="13"/>
      <c r="S56" s="13"/>
      <c r="T56" s="13"/>
      <c r="U56" s="13"/>
      <c r="V56" s="13"/>
      <c r="W56" s="13">
        <f t="shared" si="21"/>
        <v>0</v>
      </c>
      <c r="Z56" s="13">
        <f t="shared" si="22"/>
        <v>0</v>
      </c>
      <c r="AB56" s="13">
        <f ca="1">SUMIF('Income - OverallPY'!$B$4:$N$4,'Income - Overall'!$AB$2,'Income - OverallPY'!$B56:$M56)</f>
        <v>4.92</v>
      </c>
      <c r="AC56" s="13">
        <f t="shared" ref="AC56" ca="1" si="25">N56-AB56</f>
        <v>-4.92</v>
      </c>
      <c r="AD56" s="124">
        <f ca="1">IF(ISERROR((N56/AB56)-1),"-",(N56/AB56)-1)</f>
        <v>-1</v>
      </c>
    </row>
    <row r="57" spans="1:32">
      <c r="A57" s="15" t="s">
        <v>81</v>
      </c>
      <c r="B57" s="13">
        <f>'Income - General'!C58+'Income - Fabric'!C59+'Income - FlowerFund'!C59+'Income - SSchoolFund'!C59+'Income - Guild'!C59+'Income - Organ'!C59+'Income - SfSFund'!C59+'Income - Benevolent'!C59+'Income - Friday'!C59</f>
        <v>0</v>
      </c>
      <c r="C57" s="13">
        <f>'Income - General'!D58+'Income - Fabric'!D59+'Income - FlowerFund'!D59+'Income - SSchoolFund'!D59+'Income - Guild'!D59+'Income - Organ'!D59+'Income - SfSFund'!D59+'Income - Benevolent'!D59+'Income - Friday'!D59</f>
        <v>0</v>
      </c>
      <c r="D57" s="13">
        <f>'Income - General'!E58+'Income - Fabric'!E59+'Income - FlowerFund'!E59+'Income - SSchoolFund'!E59+'Income - Guild'!E59+'Income - Organ'!E59+'Income - SfSFund'!E59+'Income - Benevolent'!E59+'Income - Friday'!E59</f>
        <v>0</v>
      </c>
      <c r="E57" s="13">
        <f>'Income - General'!F58+'Income - Fabric'!F59+'Income - FlowerFund'!F59+'Income - SSchoolFund'!F59+'Income - Guild'!F59+'Income - Organ'!F59+'Income - SfSFund'!F59+'Income - Benevolent'!F59+'Income - Friday'!F59</f>
        <v>0</v>
      </c>
      <c r="F57" s="13">
        <f>'Income - General'!G58+'Income - Fabric'!G59+'Income - FlowerFund'!G59+'Income - SSchoolFund'!G59+'Income - Guild'!G59+'Income - Organ'!G59+'Income - SfSFund'!G59+'Income - Benevolent'!G59+'Income - Friday'!G59</f>
        <v>0</v>
      </c>
      <c r="G57" s="13">
        <f>'Income - General'!H58+'Income - Fabric'!H59+'Income - FlowerFund'!H59+'Income - SSchoolFund'!H59+'Income - Guild'!H59+'Income - Organ'!H59+'Income - SfSFund'!H59+'Income - Benevolent'!H59+'Income - Friday'!H59</f>
        <v>0</v>
      </c>
      <c r="H57" s="13">
        <f>'Income - General'!I58+'Income - Fabric'!I59+'Income - FlowerFund'!I59+'Income - SSchoolFund'!I59+'Income - Guild'!I59+'Income - Organ'!I59+'Income - SfSFund'!I59+'Income - Benevolent'!I59+'Income - Friday'!I59</f>
        <v>0</v>
      </c>
      <c r="I57" s="13">
        <f>'Income - General'!J58+'Income - Fabric'!J59+'Income - FlowerFund'!J59+'Income - SSchoolFund'!J59+'Income - Guild'!J59+'Income - Organ'!J59+'Income - SfSFund'!J59+'Income - Benevolent'!J59+'Income - Friday'!J59</f>
        <v>0</v>
      </c>
      <c r="J57" s="13">
        <f>'Income - General'!K58+'Income - Fabric'!K59+'Income - FlowerFund'!K59+'Income - SSchoolFund'!K59+'Income - Guild'!K59+'Income - Organ'!K59+'Income - SfSFund'!K59+'Income - Benevolent'!K59+'Income - Friday'!K59</f>
        <v>0</v>
      </c>
      <c r="K57" s="13">
        <f>'Income - General'!L58+'Income - Fabric'!L59+'Income - FlowerFund'!L59+'Income - SSchoolFund'!L59+'Income - Guild'!L59+'Income - Organ'!L59+'Income - SfSFund'!L59+'Income - Benevolent'!L59+'Income - Friday'!L59</f>
        <v>0</v>
      </c>
      <c r="L57" s="13">
        <f>'Income - General'!M58+'Income - Fabric'!M59+'Income - FlowerFund'!M59+'Income - SSchoolFund'!M59+'Income - Guild'!M59+'Income - Organ'!M59+'Income - SfSFund'!M59+'Income - Benevolent'!M59+'Income - Friday'!M59</f>
        <v>0</v>
      </c>
      <c r="M57" s="13">
        <f>'Income - General'!N58+'Income - Fabric'!N59+'Income - FlowerFund'!N59+'Income - SSchoolFund'!N59+'Income - Guild'!N59+'Income - Organ'!N59+'Income - SfSFund'!N59+'Income - Benevolent'!N59+'Income - Friday'!N59</f>
        <v>0</v>
      </c>
      <c r="N57" s="13">
        <f t="shared" si="19"/>
        <v>0</v>
      </c>
      <c r="O57" s="13"/>
      <c r="P57" s="13">
        <f t="shared" si="20"/>
        <v>0</v>
      </c>
      <c r="Q57" s="13"/>
      <c r="R57" s="13"/>
      <c r="S57" s="13"/>
      <c r="T57" s="13"/>
      <c r="U57" s="13"/>
      <c r="V57" s="13"/>
      <c r="W57" s="13">
        <f t="shared" si="21"/>
        <v>0</v>
      </c>
      <c r="Y57" s="13">
        <f>SUMIF('Income - OverallBUD'!$C$4:$N$4,'Income - Overall'!$Y$2,'Income - OverallBUD'!$C57:$N57)</f>
        <v>1500</v>
      </c>
      <c r="Z57" s="13">
        <f t="shared" si="22"/>
        <v>-1500</v>
      </c>
      <c r="AB57" s="13">
        <f ca="1">SUMIF('Income - OverallPY'!$B$4:$N$4,'Income - Overall'!$AB$2,'Income - OverallPY'!$B57:$M57)</f>
        <v>0</v>
      </c>
      <c r="AC57" s="13">
        <f t="shared" ca="1" si="23"/>
        <v>0</v>
      </c>
      <c r="AD57" s="124" t="str">
        <f ca="1">IF(ISERROR((N57/AB57)-1),"-",(N57/AB57)-1)</f>
        <v>-</v>
      </c>
    </row>
    <row r="58" spans="1:32" ht="14.65" thickBot="1">
      <c r="A58" s="7" t="s">
        <v>82</v>
      </c>
      <c r="B58" s="29">
        <f t="shared" ref="B58:W58" si="26">SUM(B53:B57)</f>
        <v>310</v>
      </c>
      <c r="C58" s="29">
        <f t="shared" si="26"/>
        <v>0</v>
      </c>
      <c r="D58" s="29">
        <f t="shared" si="26"/>
        <v>0</v>
      </c>
      <c r="E58" s="29">
        <f t="shared" si="26"/>
        <v>0</v>
      </c>
      <c r="F58" s="29">
        <f t="shared" si="26"/>
        <v>0</v>
      </c>
      <c r="G58" s="29">
        <f t="shared" si="26"/>
        <v>0</v>
      </c>
      <c r="H58" s="29">
        <f t="shared" si="26"/>
        <v>0</v>
      </c>
      <c r="I58" s="29">
        <f t="shared" si="26"/>
        <v>0</v>
      </c>
      <c r="J58" s="29">
        <f t="shared" si="26"/>
        <v>0</v>
      </c>
      <c r="K58" s="29">
        <f t="shared" si="26"/>
        <v>0</v>
      </c>
      <c r="L58" s="29">
        <f t="shared" si="26"/>
        <v>0</v>
      </c>
      <c r="M58" s="29">
        <f t="shared" si="26"/>
        <v>0</v>
      </c>
      <c r="N58" s="29">
        <f t="shared" si="26"/>
        <v>310</v>
      </c>
      <c r="O58" s="29">
        <f t="shared" si="26"/>
        <v>0</v>
      </c>
      <c r="P58" s="29">
        <f t="shared" si="26"/>
        <v>310</v>
      </c>
      <c r="Q58" s="29">
        <f t="shared" si="26"/>
        <v>0</v>
      </c>
      <c r="R58" s="29">
        <f t="shared" si="26"/>
        <v>0</v>
      </c>
      <c r="S58" s="29">
        <f t="shared" si="26"/>
        <v>0</v>
      </c>
      <c r="T58" s="29">
        <f t="shared" si="26"/>
        <v>0</v>
      </c>
      <c r="U58" s="29">
        <f t="shared" si="26"/>
        <v>0</v>
      </c>
      <c r="V58" s="29">
        <f t="shared" si="26"/>
        <v>0</v>
      </c>
      <c r="W58" s="29">
        <f t="shared" si="26"/>
        <v>310</v>
      </c>
      <c r="Y58" s="29">
        <f>SUM(Y53:Y57)</f>
        <v>2850</v>
      </c>
      <c r="Z58" s="29">
        <f>SUM(Z53:Z57)</f>
        <v>-2540</v>
      </c>
      <c r="AB58" s="29">
        <f ca="1">SUM(AB53:AB57)</f>
        <v>604.91999999999996</v>
      </c>
      <c r="AC58" s="29">
        <f ca="1">SUM(AC53:AC57)</f>
        <v>-294.92</v>
      </c>
      <c r="AD58" s="126">
        <f t="shared" ca="1" si="24"/>
        <v>-0.48753554188983661</v>
      </c>
    </row>
    <row r="59" spans="1:32">
      <c r="B59" s="13"/>
      <c r="C59" s="13"/>
      <c r="D59" s="13"/>
      <c r="E59" s="13"/>
      <c r="F59" s="13"/>
      <c r="G59" s="13"/>
      <c r="H59" s="13"/>
      <c r="I59" s="13"/>
      <c r="J59" s="13"/>
      <c r="K59" s="13"/>
      <c r="L59" s="13"/>
      <c r="M59" s="13"/>
      <c r="N59" s="13"/>
      <c r="O59" s="13"/>
      <c r="P59" s="13"/>
      <c r="Q59" s="13"/>
      <c r="R59" s="13"/>
      <c r="S59" s="13"/>
      <c r="T59" s="13"/>
      <c r="U59" s="13"/>
      <c r="V59" s="13"/>
      <c r="W59" s="13"/>
      <c r="AC59" s="13"/>
    </row>
    <row r="60" spans="1:32" ht="14.65" thickBot="1">
      <c r="A60" s="7" t="s">
        <v>83</v>
      </c>
      <c r="B60" s="29">
        <f t="shared" ref="B60:W60" si="27">B50+B58</f>
        <v>12385.479999999998</v>
      </c>
      <c r="C60" s="29">
        <f t="shared" si="27"/>
        <v>11566.89</v>
      </c>
      <c r="D60" s="29">
        <f t="shared" si="27"/>
        <v>19777.240000000002</v>
      </c>
      <c r="E60" s="29">
        <f t="shared" si="27"/>
        <v>16428.419999999998</v>
      </c>
      <c r="F60" s="29">
        <f t="shared" si="27"/>
        <v>18243.96</v>
      </c>
      <c r="G60" s="29">
        <f t="shared" si="27"/>
        <v>0</v>
      </c>
      <c r="H60" s="29">
        <f t="shared" si="27"/>
        <v>0</v>
      </c>
      <c r="I60" s="29">
        <f t="shared" si="27"/>
        <v>0</v>
      </c>
      <c r="J60" s="29">
        <f t="shared" si="27"/>
        <v>0</v>
      </c>
      <c r="K60" s="29">
        <f t="shared" si="27"/>
        <v>0</v>
      </c>
      <c r="L60" s="29">
        <f t="shared" si="27"/>
        <v>0</v>
      </c>
      <c r="M60" s="29">
        <f t="shared" si="27"/>
        <v>0</v>
      </c>
      <c r="N60" s="29">
        <f t="shared" si="27"/>
        <v>78401.990000000005</v>
      </c>
      <c r="O60" s="29">
        <f t="shared" si="27"/>
        <v>0</v>
      </c>
      <c r="P60" s="29">
        <f t="shared" si="27"/>
        <v>78401.990000000005</v>
      </c>
      <c r="Q60" s="29">
        <f t="shared" si="27"/>
        <v>0</v>
      </c>
      <c r="R60" s="29">
        <f t="shared" si="27"/>
        <v>0</v>
      </c>
      <c r="S60" s="29">
        <f t="shared" si="27"/>
        <v>0</v>
      </c>
      <c r="T60" s="29">
        <f t="shared" si="27"/>
        <v>0</v>
      </c>
      <c r="U60" s="29">
        <f t="shared" si="27"/>
        <v>0</v>
      </c>
      <c r="V60" s="29">
        <f t="shared" si="27"/>
        <v>0</v>
      </c>
      <c r="W60" s="29">
        <f t="shared" si="27"/>
        <v>78401.990000000005</v>
      </c>
      <c r="Y60" s="29">
        <f>Y50+Y58</f>
        <v>73750</v>
      </c>
      <c r="Z60" s="29">
        <f>Z50+Z58</f>
        <v>4651.99</v>
      </c>
      <c r="AB60" s="29">
        <f ca="1">AB50+AB58</f>
        <v>75892.069999999992</v>
      </c>
      <c r="AC60" s="29">
        <f ca="1">AC50+AC58</f>
        <v>2509.9199999999983</v>
      </c>
      <c r="AD60" s="138">
        <f ca="1">IF(ISERROR((N60/AB60)-1),"-",(N60/AB60)-1)</f>
        <v>3.3072230076212294E-2</v>
      </c>
      <c r="AF60" s="13"/>
    </row>
    <row r="61" spans="1:32">
      <c r="B61" s="13"/>
      <c r="C61" s="13"/>
      <c r="D61" s="13"/>
      <c r="E61" s="13"/>
      <c r="F61" s="13"/>
      <c r="G61" s="13"/>
      <c r="H61" s="13"/>
      <c r="I61" s="13"/>
      <c r="J61" s="13"/>
      <c r="K61" s="13"/>
      <c r="L61" s="13"/>
      <c r="M61" s="13"/>
      <c r="N61" s="13"/>
      <c r="O61" s="13"/>
      <c r="P61" s="13"/>
      <c r="Q61" s="13"/>
      <c r="R61" s="13"/>
      <c r="S61" s="13"/>
      <c r="T61" s="13"/>
      <c r="U61" s="13"/>
      <c r="V61" s="13"/>
      <c r="W61" s="13"/>
      <c r="AC61" s="4"/>
    </row>
    <row r="62" spans="1:32" s="41" customFormat="1" ht="14.65" thickBot="1">
      <c r="A62" s="41" t="s">
        <v>84</v>
      </c>
      <c r="B62" s="42">
        <f>B60-'Expend - Overall'!B62</f>
        <v>-6501.7600000000039</v>
      </c>
      <c r="C62" s="42">
        <f>C60-'Expend - Overall'!C62</f>
        <v>-2813.7400000000016</v>
      </c>
      <c r="D62" s="42">
        <f>D60-'Expend - Overall'!D62</f>
        <v>-23307.109999999997</v>
      </c>
      <c r="E62" s="42">
        <f>E60-'Expend - Overall'!E62</f>
        <v>13159.109999999997</v>
      </c>
      <c r="F62" s="42">
        <f>F60-'Expend - Overall'!F62</f>
        <v>1498.6299999999974</v>
      </c>
      <c r="G62" s="42">
        <f>G60-'Expend - Overall'!G62</f>
        <v>0</v>
      </c>
      <c r="H62" s="42">
        <f>H60-'Expend - Overall'!H62</f>
        <v>0</v>
      </c>
      <c r="I62" s="42">
        <f>I60-'Expend - Overall'!I62</f>
        <v>0</v>
      </c>
      <c r="J62" s="42">
        <f>J60-'Expend - Overall'!J62</f>
        <v>0</v>
      </c>
      <c r="K62" s="42">
        <f>K60-'Expend - Overall'!K62</f>
        <v>0</v>
      </c>
      <c r="L62" s="42">
        <f>L60-'Expend - Overall'!L62</f>
        <v>0</v>
      </c>
      <c r="M62" s="42">
        <f>M60-'Expend - Overall'!M62</f>
        <v>0</v>
      </c>
      <c r="N62" s="42">
        <f>N60-'Expend - Overall'!N62</f>
        <v>-17964.869999999981</v>
      </c>
      <c r="O62" s="42">
        <f>O60-'Expend - Overall'!O62</f>
        <v>0</v>
      </c>
      <c r="P62" s="42">
        <f>P60-'Expend - Overall'!P62</f>
        <v>-17964.869999999981</v>
      </c>
      <c r="Q62" s="42">
        <f>Q60-'Expend - Overall'!Q62</f>
        <v>0</v>
      </c>
      <c r="R62" s="42">
        <f>R60-'Expend - Overall'!R62</f>
        <v>0</v>
      </c>
      <c r="S62" s="42">
        <f>S60-'Expend - Overall'!S62</f>
        <v>0</v>
      </c>
      <c r="T62" s="42">
        <f>T60-'Expend - Overall'!T62</f>
        <v>0</v>
      </c>
      <c r="U62" s="42">
        <f>U60-'Expend - Overall'!U62</f>
        <v>0</v>
      </c>
      <c r="V62" s="42">
        <f>V60-'Expend - Overall'!V62</f>
        <v>0</v>
      </c>
      <c r="W62" s="42">
        <f>W60-'Expend - Overall'!W62</f>
        <v>-17964.869999999981</v>
      </c>
      <c r="Y62" s="42">
        <f>Y60-'Expend - Overall'!Y62</f>
        <v>-19998.649999999994</v>
      </c>
      <c r="Z62" s="42">
        <f>N62-Y62</f>
        <v>2033.7800000000134</v>
      </c>
      <c r="AB62" s="133"/>
      <c r="AC62" s="133"/>
    </row>
    <row r="63" spans="1:32" s="41" customFormat="1">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9"/>
      <c r="Z63" s="133"/>
      <c r="AA63" s="133"/>
      <c r="AB63" s="139"/>
      <c r="AC63" s="133"/>
    </row>
    <row r="64" spans="1:32" s="41" customFormat="1">
      <c r="A64" s="41" t="s">
        <v>85</v>
      </c>
      <c r="B64" s="133">
        <f>B62</f>
        <v>-6501.7600000000039</v>
      </c>
      <c r="C64" s="133">
        <f t="shared" ref="C64:M64" si="28">B64+C62</f>
        <v>-9315.5000000000055</v>
      </c>
      <c r="D64" s="133">
        <f t="shared" si="28"/>
        <v>-32622.61</v>
      </c>
      <c r="E64" s="133">
        <f t="shared" si="28"/>
        <v>-19463.500000000004</v>
      </c>
      <c r="F64" s="133">
        <f t="shared" si="28"/>
        <v>-17964.870000000006</v>
      </c>
      <c r="G64" s="133">
        <f t="shared" si="28"/>
        <v>-17964.870000000006</v>
      </c>
      <c r="H64" s="133">
        <f t="shared" si="28"/>
        <v>-17964.870000000006</v>
      </c>
      <c r="I64" s="133">
        <f t="shared" si="28"/>
        <v>-17964.870000000006</v>
      </c>
      <c r="J64" s="133">
        <f t="shared" si="28"/>
        <v>-17964.870000000006</v>
      </c>
      <c r="K64" s="133">
        <f t="shared" si="28"/>
        <v>-17964.870000000006</v>
      </c>
      <c r="L64" s="133">
        <f t="shared" si="28"/>
        <v>-17964.870000000006</v>
      </c>
      <c r="M64" s="133">
        <f t="shared" si="28"/>
        <v>-17964.870000000006</v>
      </c>
      <c r="N64" s="133"/>
      <c r="O64" s="133">
        <f>O60-O63</f>
        <v>0</v>
      </c>
      <c r="P64" s="133"/>
      <c r="Q64" s="133"/>
      <c r="R64" s="133"/>
      <c r="S64" s="133"/>
      <c r="T64" s="133"/>
      <c r="U64" s="133"/>
      <c r="V64" s="133"/>
      <c r="W64" s="133"/>
      <c r="X64" s="133"/>
      <c r="Y64" s="133"/>
      <c r="Z64" s="133"/>
      <c r="AA64" s="133"/>
      <c r="AB64" s="133"/>
      <c r="AC64" s="133"/>
    </row>
    <row r="65" spans="2:29">
      <c r="B65" s="13"/>
      <c r="C65" s="13"/>
      <c r="D65" s="13"/>
      <c r="E65" s="13"/>
      <c r="F65" s="13"/>
      <c r="G65" s="13"/>
      <c r="H65" s="13"/>
      <c r="I65" s="13"/>
      <c r="J65" s="13"/>
      <c r="K65" s="13"/>
      <c r="L65" s="13"/>
      <c r="M65" s="13"/>
      <c r="P65" s="13"/>
      <c r="Q65" s="13"/>
      <c r="R65" s="13"/>
      <c r="S65" s="13"/>
      <c r="T65" s="13"/>
      <c r="U65" s="13"/>
      <c r="V65" s="13"/>
      <c r="W65" s="13"/>
      <c r="X65" s="13"/>
      <c r="AA65" s="13"/>
      <c r="AC65" s="13"/>
    </row>
  </sheetData>
  <pageMargins left="0.25" right="0.25" top="0.75" bottom="0.75" header="0.3" footer="0.3"/>
  <pageSetup paperSize="9" scale="51" orientation="landscape" r:id="rId1"/>
  <headerFooter alignWithMargins="0">
    <oddHeader>&amp;A</oddHead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E68"/>
  <sheetViews>
    <sheetView topLeftCell="A36" zoomScale="80" zoomScaleNormal="80" workbookViewId="0">
      <selection activeCell="Y3" sqref="Y3"/>
    </sheetView>
  </sheetViews>
  <sheetFormatPr defaultColWidth="9" defaultRowHeight="14.25" outlineLevelCol="1"/>
  <cols>
    <col min="1" max="1" width="34.28515625" bestFit="1" customWidth="1"/>
    <col min="2" max="2" width="9" style="13" bestFit="1" customWidth="1"/>
    <col min="3" max="6" width="10" style="13" bestFit="1" customWidth="1"/>
    <col min="7" max="7" width="10" style="4" bestFit="1" customWidth="1"/>
    <col min="8" max="10" width="10" style="13" bestFit="1" customWidth="1"/>
    <col min="11" max="11" width="8" style="13" bestFit="1" customWidth="1"/>
    <col min="12" max="13" width="8.140625" style="13" bestFit="1" customWidth="1"/>
    <col min="14" max="14" width="10" style="4" bestFit="1" customWidth="1"/>
    <col min="15" max="15" width="9" style="4" hidden="1" customWidth="1" outlineLevel="1"/>
    <col min="16" max="16" width="8.5703125" style="4" hidden="1" customWidth="1" outlineLevel="1"/>
    <col min="17" max="17" width="8.28515625" style="4" hidden="1" customWidth="1" outlineLevel="1"/>
    <col min="18" max="18" width="7" style="4" hidden="1" customWidth="1" outlineLevel="1"/>
    <col min="19" max="19" width="8.28515625" style="4" hidden="1" customWidth="1" outlineLevel="1"/>
    <col min="20" max="20" width="10" style="4" hidden="1" customWidth="1" outlineLevel="1"/>
    <col min="21" max="21" width="7" style="4" hidden="1" customWidth="1" outlineLevel="1"/>
    <col min="22" max="22" width="9.5703125" style="4" hidden="1" customWidth="1" outlineLevel="1"/>
    <col min="23" max="23" width="8.5703125" style="4" hidden="1" customWidth="1" outlineLevel="1"/>
    <col min="24" max="24" width="3" customWidth="1" collapsed="1"/>
    <col min="25" max="25" width="9.28515625" customWidth="1"/>
    <col min="26" max="26" width="9.28515625" bestFit="1" customWidth="1"/>
    <col min="27" max="27" width="3" customWidth="1"/>
    <col min="28" max="28" width="9.28515625" customWidth="1"/>
    <col min="29" max="29" width="9.28515625" bestFit="1" customWidth="1"/>
    <col min="30" max="30" width="10.42578125" bestFit="1" customWidth="1"/>
    <col min="31" max="31" width="10" bestFit="1" customWidth="1"/>
    <col min="32" max="32" width="29.140625" bestFit="1" customWidth="1"/>
  </cols>
  <sheetData>
    <row r="1" spans="1:31">
      <c r="A1" s="1" t="s">
        <v>0</v>
      </c>
    </row>
    <row r="2" spans="1:31">
      <c r="A2" s="1" t="s">
        <v>10</v>
      </c>
      <c r="Y2" s="116">
        <v>5</v>
      </c>
      <c r="AB2" s="116">
        <v>5</v>
      </c>
    </row>
    <row r="3" spans="1:31">
      <c r="A3" s="197">
        <f>'Income - Overall'!A3</f>
        <v>46173</v>
      </c>
      <c r="AB3" s="14" t="s">
        <v>11</v>
      </c>
    </row>
    <row r="4" spans="1:31">
      <c r="A4" s="1" t="s">
        <v>86</v>
      </c>
      <c r="AB4" s="14" t="s">
        <v>13</v>
      </c>
    </row>
    <row r="5" spans="1:31">
      <c r="A5" s="117"/>
      <c r="B5" s="118"/>
      <c r="C5" s="118"/>
      <c r="D5" s="118"/>
      <c r="E5" s="118"/>
      <c r="F5" s="118"/>
      <c r="G5" s="119"/>
      <c r="H5" s="118"/>
      <c r="I5" s="118"/>
      <c r="J5" s="118"/>
      <c r="K5" s="118"/>
      <c r="L5" s="118"/>
      <c r="M5" s="118"/>
      <c r="N5" s="119"/>
      <c r="O5" s="119"/>
      <c r="P5" s="119"/>
      <c r="Q5" s="120" t="s">
        <v>14</v>
      </c>
      <c r="R5" s="12" t="s">
        <v>15</v>
      </c>
      <c r="S5" s="12" t="s">
        <v>16</v>
      </c>
      <c r="T5" s="12" t="s">
        <v>17</v>
      </c>
      <c r="U5" s="12" t="s">
        <v>18</v>
      </c>
      <c r="V5" s="120" t="s">
        <v>19</v>
      </c>
      <c r="W5" s="119"/>
      <c r="Y5" s="14" t="s">
        <v>20</v>
      </c>
      <c r="Z5" s="13"/>
      <c r="AB5" s="68">
        <v>2025</v>
      </c>
      <c r="AC5" s="13"/>
      <c r="AD5" s="68" t="s">
        <v>21</v>
      </c>
    </row>
    <row r="6" spans="1:31">
      <c r="A6" s="121"/>
      <c r="B6" s="122" t="s">
        <v>22</v>
      </c>
      <c r="C6" s="122" t="s">
        <v>23</v>
      </c>
      <c r="D6" s="122" t="s">
        <v>24</v>
      </c>
      <c r="E6" s="122" t="s">
        <v>25</v>
      </c>
      <c r="F6" s="122" t="s">
        <v>26</v>
      </c>
      <c r="G6" s="123" t="s">
        <v>27</v>
      </c>
      <c r="H6" s="122" t="s">
        <v>28</v>
      </c>
      <c r="I6" s="122" t="s">
        <v>29</v>
      </c>
      <c r="J6" s="122" t="s">
        <v>30</v>
      </c>
      <c r="K6" s="122" t="s">
        <v>31</v>
      </c>
      <c r="L6" s="122" t="s">
        <v>32</v>
      </c>
      <c r="M6" s="122" t="s">
        <v>33</v>
      </c>
      <c r="N6" s="123" t="s">
        <v>34</v>
      </c>
      <c r="O6" s="123" t="s">
        <v>35</v>
      </c>
      <c r="P6" s="123" t="s">
        <v>36</v>
      </c>
      <c r="Q6" s="120" t="s">
        <v>37</v>
      </c>
      <c r="R6" s="12" t="s">
        <v>38</v>
      </c>
      <c r="S6" s="12" t="s">
        <v>37</v>
      </c>
      <c r="T6" s="12" t="s">
        <v>39</v>
      </c>
      <c r="U6" s="12" t="s">
        <v>40</v>
      </c>
      <c r="V6" s="120" t="s">
        <v>41</v>
      </c>
      <c r="W6" s="123" t="s">
        <v>36</v>
      </c>
      <c r="Y6" s="31" t="s">
        <v>42</v>
      </c>
      <c r="Z6" s="31" t="s">
        <v>36</v>
      </c>
      <c r="AB6" s="31" t="s">
        <v>43</v>
      </c>
      <c r="AC6" s="31" t="s">
        <v>36</v>
      </c>
      <c r="AD6" s="31" t="s">
        <v>36</v>
      </c>
    </row>
    <row r="7" spans="1:31">
      <c r="A7" s="1" t="s">
        <v>87</v>
      </c>
    </row>
    <row r="8" spans="1:31">
      <c r="A8" s="18" t="s">
        <v>88</v>
      </c>
      <c r="B8" s="13">
        <f>'Expend - General'!C8+'Expend - Fabric'!C8+'Expend - FlowerFund'!C8+'Expend - SSchoolFund'!C8+'Expend - ReithMemorial'!C8+'Expend - SfSFund'!C8+'Expend - Guild'!C8+'Expend - Organ'!C8+'Expend - JrChurch'!C8+'Expend - Benevolent'!C8+'Expend - Friday'!C8</f>
        <v>0</v>
      </c>
      <c r="C8" s="13">
        <f>'Expend - General'!D8+'Expend - Fabric'!D8+'Expend - FlowerFund'!D8+'Expend - SSchoolFund'!D8+'Expend - ReithMemorial'!D8+'Expend - SfSFund'!D8+'Expend - Guild'!D8+'Expend - Organ'!D8+'Expend - JrChurch'!D8+'Expend - Benevolent'!D8+'Expend - Friday'!D8</f>
        <v>0</v>
      </c>
      <c r="D8" s="13">
        <f>'Expend - General'!E8+'Expend - Fabric'!E8+'Expend - FlowerFund'!E8+'Expend - SSchoolFund'!E8+'Expend - ReithMemorial'!E8+'Expend - SfSFund'!E8+'Expend - Guild'!E8+'Expend - Organ'!E8+'Expend - JrChurch'!E8+'Expend - Benevolent'!E8+'Expend - Friday'!E8</f>
        <v>0</v>
      </c>
      <c r="E8" s="13">
        <f>'Expend - General'!F8+'Expend - Fabric'!F8+'Expend - FlowerFund'!F8+'Expend - SSchoolFund'!F8+'Expend - ReithMemorial'!F8+'Expend - SfSFund'!F8+'Expend - Guild'!F8+'Expend - Organ'!F8+'Expend - JrChurch'!F8+'Expend - Benevolent'!F8+'Expend - Friday'!F8</f>
        <v>0</v>
      </c>
      <c r="F8" s="13">
        <f>'Expend - General'!G8+'Expend - Fabric'!G8+'Expend - FlowerFund'!G8+'Expend - SSchoolFund'!G8+'Expend - ReithMemorial'!G8+'Expend - SfSFund'!G8+'Expend - Guild'!G8+'Expend - Organ'!G8+'Expend - JrChurch'!G8+'Expend - Benevolent'!G8+'Expend - Friday'!G8</f>
        <v>0</v>
      </c>
      <c r="G8" s="13">
        <f>'Expend - General'!H8+'Expend - Fabric'!H8+'Expend - FlowerFund'!H8+'Expend - SSchoolFund'!H8+'Expend - ReithMemorial'!H8+'Expend - SfSFund'!H8+'Expend - Guild'!H8+'Expend - Organ'!H8+'Expend - JrChurch'!H8+'Expend - Benevolent'!H8+'Expend - Friday'!H8</f>
        <v>0</v>
      </c>
      <c r="H8" s="13">
        <f>'Expend - General'!I8+'Expend - Fabric'!I8+'Expend - FlowerFund'!I8+'Expend - SSchoolFund'!I8+'Expend - ReithMemorial'!I8+'Expend - SfSFund'!I8+'Expend - Guild'!I8+'Expend - Organ'!I8+'Expend - JrChurch'!I8+'Expend - Benevolent'!I8+'Expend - Friday'!I8</f>
        <v>0</v>
      </c>
      <c r="I8" s="13">
        <f>'Expend - General'!J8+'Expend - Fabric'!J8+'Expend - FlowerFund'!J8+'Expend - SSchoolFund'!J8+'Expend - ReithMemorial'!J8+'Expend - SfSFund'!J8+'Expend - Guild'!J8+'Expend - Organ'!J8+'Expend - JrChurch'!J8+'Expend - Benevolent'!J8+'Expend - Friday'!J8</f>
        <v>0</v>
      </c>
      <c r="J8" s="13">
        <f>'Expend - General'!K8+'Expend - Fabric'!K8+'Expend - FlowerFund'!K8+'Expend - SSchoolFund'!K8+'Expend - ReithMemorial'!K8+'Expend - SfSFund'!K8+'Expend - Guild'!K8+'Expend - Organ'!K8+'Expend - JrChurch'!K8+'Expend - Benevolent'!K8+'Expend - Friday'!K8</f>
        <v>0</v>
      </c>
      <c r="K8" s="13">
        <f>'Expend - General'!L8+'Expend - Fabric'!L8+'Expend - FlowerFund'!L8+'Expend - SSchoolFund'!L8+'Expend - ReithMemorial'!L8+'Expend - SfSFund'!L8+'Expend - Guild'!L8+'Expend - Organ'!L8+'Expend - JrChurch'!L8+'Expend - Benevolent'!L8+'Expend - Friday'!L8</f>
        <v>0</v>
      </c>
      <c r="L8" s="13">
        <f>'Expend - General'!M8+'Expend - Fabric'!M8+'Expend - FlowerFund'!M8+'Expend - SSchoolFund'!M8+'Expend - ReithMemorial'!M8+'Expend - SfSFund'!M8+'Expend - Guild'!M8+'Expend - Organ'!M8+'Expend - JrChurch'!M8+'Expend - Benevolent'!M8+'Expend - Friday'!M8</f>
        <v>0</v>
      </c>
      <c r="M8" s="13">
        <f>'Expend - General'!N8+'Expend - Fabric'!N8+'Expend - FlowerFund'!N8+'Expend - SSchoolFund'!N8+'Expend - ReithMemorial'!N8+'Expend - SfSFund'!N8+'Expend - Guild'!N8+'Expend - Organ'!N8+'Expend - JrChurch'!N8+'Expend - Benevolent'!N8+'Expend - Friday'!N8</f>
        <v>0</v>
      </c>
      <c r="N8" s="13">
        <f>SUM(B8:M8)</f>
        <v>0</v>
      </c>
      <c r="O8" s="13"/>
      <c r="P8" s="13">
        <f>N8-O8</f>
        <v>0</v>
      </c>
      <c r="Q8" s="13"/>
      <c r="R8" s="13"/>
      <c r="S8" s="13"/>
      <c r="T8" s="13"/>
      <c r="U8" s="13"/>
      <c r="V8" s="13"/>
      <c r="W8" s="13">
        <f>SUM(P8:V8)</f>
        <v>0</v>
      </c>
      <c r="Y8" s="13">
        <f>SUMIF('Expend - OverallBUD'!$C$4:$N$4,'Expend - Overall'!$Y$2,'Expend - OverallBUD'!$C8:$N8)</f>
        <v>0</v>
      </c>
      <c r="Z8" s="13">
        <f>Y8-N8</f>
        <v>0</v>
      </c>
      <c r="AB8" s="13">
        <f>SUMIF('Expend - OverallPY'!$B$4:$M$4,'Expend - Overall'!$AB$2,'Expend - OverallPY'!$B8:$M8)</f>
        <v>0</v>
      </c>
      <c r="AC8" s="13">
        <f>AB8-N8</f>
        <v>0</v>
      </c>
      <c r="AD8" s="190" t="str">
        <f>IF(ISERROR((AB8/N8)-1),"-",(AB8/N8)-1)</f>
        <v>-</v>
      </c>
      <c r="AE8" s="13"/>
    </row>
    <row r="9" spans="1:31">
      <c r="A9" s="18" t="s">
        <v>89</v>
      </c>
      <c r="B9" s="13">
        <f>'Expend - General'!C9+'Expend - Fabric'!C9+'Expend - FlowerFund'!C9+'Expend - SSchoolFund'!C9+'Expend - ReithMemorial'!C9+'Expend - SfSFund'!C9+'Expend - Guild'!C9+'Expend - Organ'!C9+'Expend - JrChurch'!C9+'Expend - Benevolent'!C9+'Expend - Friday'!C9</f>
        <v>0</v>
      </c>
      <c r="C9" s="13">
        <f>'Expend - General'!D9+'Expend - Fabric'!D9+'Expend - FlowerFund'!D9+'Expend - SSchoolFund'!D9+'Expend - ReithMemorial'!D9+'Expend - SfSFund'!D9+'Expend - Guild'!D9+'Expend - Organ'!D9+'Expend - JrChurch'!D9+'Expend - Benevolent'!D9+'Expend - Friday'!D9</f>
        <v>0</v>
      </c>
      <c r="D9" s="13">
        <f>'Expend - General'!E9+'Expend - Fabric'!E9+'Expend - FlowerFund'!E9+'Expend - SSchoolFund'!E9+'Expend - ReithMemorial'!E9+'Expend - SfSFund'!E9+'Expend - Guild'!E9+'Expend - Organ'!E9+'Expend - JrChurch'!E9+'Expend - Benevolent'!E9+'Expend - Friday'!E9</f>
        <v>0</v>
      </c>
      <c r="E9" s="13">
        <f>'Expend - General'!F9+'Expend - Fabric'!F9+'Expend - FlowerFund'!F9+'Expend - SSchoolFund'!F9+'Expend - ReithMemorial'!F9+'Expend - SfSFund'!F9+'Expend - Guild'!F9+'Expend - Organ'!F9+'Expend - JrChurch'!F9+'Expend - Benevolent'!F9+'Expend - Friday'!F9</f>
        <v>0</v>
      </c>
      <c r="F9" s="13">
        <f>'Expend - General'!G9+'Expend - Fabric'!G9+'Expend - FlowerFund'!G9+'Expend - SSchoolFund'!G9+'Expend - ReithMemorial'!G9+'Expend - SfSFund'!G9+'Expend - Guild'!G9+'Expend - Organ'!G9+'Expend - JrChurch'!G9+'Expend - Benevolent'!G9+'Expend - Friday'!G9</f>
        <v>0</v>
      </c>
      <c r="G9" s="13">
        <f>'Expend - General'!H9+'Expend - Fabric'!H9+'Expend - FlowerFund'!H9+'Expend - SSchoolFund'!H9+'Expend - ReithMemorial'!H9+'Expend - SfSFund'!H9+'Expend - Guild'!H9+'Expend - Organ'!H9+'Expend - JrChurch'!H9+'Expend - Benevolent'!H9+'Expend - Friday'!H9</f>
        <v>0</v>
      </c>
      <c r="H9" s="13">
        <f>'Expend - General'!I9+'Expend - Fabric'!I9+'Expend - FlowerFund'!I9+'Expend - SSchoolFund'!I9+'Expend - ReithMemorial'!I9+'Expend - SfSFund'!I9+'Expend - Guild'!I9+'Expend - Organ'!I9+'Expend - JrChurch'!I9+'Expend - Benevolent'!I9+'Expend - Friday'!I9</f>
        <v>0</v>
      </c>
      <c r="I9" s="13">
        <f>'Expend - General'!J9+'Expend - Fabric'!J9+'Expend - FlowerFund'!J9+'Expend - SSchoolFund'!J9+'Expend - ReithMemorial'!J9+'Expend - SfSFund'!J9+'Expend - Guild'!J9+'Expend - Organ'!J9+'Expend - JrChurch'!J9+'Expend - Benevolent'!J9+'Expend - Friday'!J9</f>
        <v>0</v>
      </c>
      <c r="J9" s="13">
        <f>'Expend - General'!K9+'Expend - Fabric'!K9+'Expend - FlowerFund'!K9+'Expend - SSchoolFund'!K9+'Expend - ReithMemorial'!K9+'Expend - SfSFund'!K9+'Expend - Guild'!K9+'Expend - Organ'!K9+'Expend - JrChurch'!K9+'Expend - Benevolent'!K9+'Expend - Friday'!K9</f>
        <v>0</v>
      </c>
      <c r="K9" s="13">
        <f>'Expend - General'!L9+'Expend - Fabric'!L9+'Expend - FlowerFund'!L9+'Expend - SSchoolFund'!L9+'Expend - ReithMemorial'!L9+'Expend - SfSFund'!L9+'Expend - Guild'!L9+'Expend - Organ'!L9+'Expend - JrChurch'!L9+'Expend - Benevolent'!L9+'Expend - Friday'!L9</f>
        <v>0</v>
      </c>
      <c r="L9" s="13">
        <f>'Expend - General'!M9+'Expend - Fabric'!M9+'Expend - FlowerFund'!M9+'Expend - SSchoolFund'!M9+'Expend - ReithMemorial'!M9+'Expend - SfSFund'!M9+'Expend - Guild'!M9+'Expend - Organ'!M9+'Expend - JrChurch'!M9+'Expend - Benevolent'!M9+'Expend - Friday'!M9</f>
        <v>0</v>
      </c>
      <c r="M9" s="13">
        <f>'Expend - General'!N9+'Expend - Fabric'!N9+'Expend - FlowerFund'!N9+'Expend - SSchoolFund'!N9+'Expend - ReithMemorial'!N9+'Expend - SfSFund'!N9+'Expend - Guild'!N9+'Expend - Organ'!N9+'Expend - JrChurch'!N9+'Expend - Benevolent'!N9+'Expend - Friday'!N9</f>
        <v>0</v>
      </c>
      <c r="N9" s="13">
        <f>SUM(B9:M9)</f>
        <v>0</v>
      </c>
      <c r="O9" s="13"/>
      <c r="P9" s="13">
        <f>N9-O9</f>
        <v>0</v>
      </c>
      <c r="Q9" s="13"/>
      <c r="R9" s="13"/>
      <c r="S9" s="13"/>
      <c r="T9" s="13"/>
      <c r="U9" s="13"/>
      <c r="V9" s="13"/>
      <c r="W9" s="13">
        <f>SUM(P9:V9)</f>
        <v>0</v>
      </c>
      <c r="Y9" s="13">
        <f>SUMIF('Expend - OverallBUD'!$C$4:$N$4,'Expend - Overall'!$Y$2,'Expend - OverallBUD'!$C9:$N9)</f>
        <v>0</v>
      </c>
      <c r="Z9" s="13">
        <f>Y9-N9</f>
        <v>0</v>
      </c>
      <c r="AB9" s="13">
        <f>SUMIF('Expend - OverallPY'!$B$4:$M$4,'Expend - Overall'!$AB$2,'Expend - OverallPY'!$B9:$M9)</f>
        <v>0</v>
      </c>
      <c r="AC9" s="13">
        <f>AB9-N9</f>
        <v>0</v>
      </c>
      <c r="AD9" s="190" t="str">
        <f>IF(ISERROR((AB9/N9)-1),"-",(AB9/N9)-1)</f>
        <v>-</v>
      </c>
      <c r="AE9" s="13"/>
    </row>
    <row r="10" spans="1:31" ht="14.65" thickBot="1">
      <c r="A10" s="7" t="s">
        <v>90</v>
      </c>
      <c r="B10" s="125">
        <f>SUM(B8:B9)</f>
        <v>0</v>
      </c>
      <c r="C10" s="125">
        <f t="shared" ref="C10:W10" si="0">SUM(C8:C9)</f>
        <v>0</v>
      </c>
      <c r="D10" s="125">
        <f t="shared" si="0"/>
        <v>0</v>
      </c>
      <c r="E10" s="125">
        <f t="shared" si="0"/>
        <v>0</v>
      </c>
      <c r="F10" s="125">
        <f t="shared" si="0"/>
        <v>0</v>
      </c>
      <c r="G10" s="125">
        <f t="shared" si="0"/>
        <v>0</v>
      </c>
      <c r="H10" s="125">
        <f t="shared" si="0"/>
        <v>0</v>
      </c>
      <c r="I10" s="125">
        <f t="shared" si="0"/>
        <v>0</v>
      </c>
      <c r="J10" s="125">
        <f t="shared" si="0"/>
        <v>0</v>
      </c>
      <c r="K10" s="125">
        <f t="shared" si="0"/>
        <v>0</v>
      </c>
      <c r="L10" s="125">
        <f t="shared" si="0"/>
        <v>0</v>
      </c>
      <c r="M10" s="125">
        <f t="shared" si="0"/>
        <v>0</v>
      </c>
      <c r="N10" s="125">
        <f t="shared" si="0"/>
        <v>0</v>
      </c>
      <c r="O10" s="125">
        <f t="shared" si="0"/>
        <v>0</v>
      </c>
      <c r="P10" s="125">
        <f t="shared" si="0"/>
        <v>0</v>
      </c>
      <c r="Q10" s="125">
        <f t="shared" si="0"/>
        <v>0</v>
      </c>
      <c r="R10" s="125">
        <f t="shared" si="0"/>
        <v>0</v>
      </c>
      <c r="S10" s="125">
        <f t="shared" si="0"/>
        <v>0</v>
      </c>
      <c r="T10" s="125">
        <f>SUM(T8:T9)</f>
        <v>0</v>
      </c>
      <c r="U10" s="125">
        <f>SUM(U8:U9)</f>
        <v>0</v>
      </c>
      <c r="V10" s="125">
        <f t="shared" si="0"/>
        <v>0</v>
      </c>
      <c r="W10" s="125">
        <f t="shared" si="0"/>
        <v>0</v>
      </c>
      <c r="Y10" s="28">
        <f>SUM(Y8:Y9)</f>
        <v>0</v>
      </c>
      <c r="Z10" s="28">
        <f>SUM(Z8:Z9)</f>
        <v>0</v>
      </c>
      <c r="AB10" s="28">
        <f>SUM(AB8:AB9)</f>
        <v>0</v>
      </c>
      <c r="AC10" s="28">
        <f>SUM(AC8:AC9)</f>
        <v>0</v>
      </c>
      <c r="AD10" s="191" t="str">
        <f>IF(ISERROR((AB10/N10)-1),"-",(AB10/N10)-1)</f>
        <v>-</v>
      </c>
      <c r="AE10" s="13"/>
    </row>
    <row r="11" spans="1:31">
      <c r="A11" s="7"/>
      <c r="G11" s="13"/>
      <c r="N11" s="13"/>
      <c r="O11" s="13"/>
      <c r="P11" s="13"/>
      <c r="Q11" s="13"/>
      <c r="R11" s="13"/>
      <c r="S11" s="13"/>
      <c r="T11" s="13"/>
      <c r="U11" s="13"/>
      <c r="V11" s="13"/>
      <c r="W11" s="13"/>
      <c r="Y11" s="13"/>
      <c r="Z11" s="13"/>
      <c r="AE11" s="13"/>
    </row>
    <row r="12" spans="1:31">
      <c r="A12" s="1" t="s">
        <v>91</v>
      </c>
      <c r="G12" s="13"/>
      <c r="N12" s="13"/>
      <c r="O12" s="13"/>
      <c r="P12" s="13"/>
      <c r="Q12" s="13"/>
      <c r="R12" s="13"/>
      <c r="S12" s="13"/>
      <c r="T12" s="13"/>
      <c r="U12" s="13"/>
      <c r="V12" s="13"/>
      <c r="W12" s="13"/>
      <c r="Y12" s="13"/>
      <c r="Z12" s="13"/>
      <c r="AE12" s="13"/>
    </row>
    <row r="13" spans="1:31">
      <c r="A13" s="15" t="s">
        <v>92</v>
      </c>
      <c r="B13" s="13">
        <f>'Expend - General'!C13+'Expend - Fabric'!C13+'Expend - FlowerFund'!C13+'Expend - SSchoolFund'!C13+'Expend - ReithMemorial'!C13+'Expend - SfSFund'!C13+'Expend - Guild'!C13+'Expend - Organ'!C13+'Expend - JrChurch'!C13+'Expend - Benevolent'!C13+'Expend - Friday'!C13</f>
        <v>0</v>
      </c>
      <c r="C13" s="13">
        <f>'Expend - General'!D13+'Expend - Fabric'!D13+'Expend - FlowerFund'!D13+'Expend - SSchoolFund'!D13+'Expend - ReithMemorial'!D13+'Expend - SfSFund'!D13+'Expend - Guild'!D13+'Expend - Organ'!D13+'Expend - JrChurch'!D13+'Expend - Benevolent'!D13+'Expend - Friday'!D13</f>
        <v>6400.1</v>
      </c>
      <c r="D13" s="13">
        <f>'Expend - General'!E13+'Expend - Fabric'!E13+'Expend - FlowerFund'!E13+'Expend - SSchoolFund'!E13+'Expend - ReithMemorial'!E13+'Expend - SfSFund'!E13+'Expend - Guild'!E13+'Expend - Organ'!E13+'Expend - JrChurch'!E13+'Expend - Benevolent'!E13+'Expend - Friday'!E13</f>
        <v>6400.1</v>
      </c>
      <c r="E13" s="13">
        <f>'Expend - General'!F13+'Expend - Fabric'!F13+'Expend - FlowerFund'!F13+'Expend - SSchoolFund'!F13+'Expend - ReithMemorial'!F13+'Expend - SfSFund'!F13+'Expend - Guild'!F13+'Expend - Organ'!F13+'Expend - JrChurch'!F13+'Expend - Benevolent'!F13+'Expend - Friday'!F13</f>
        <v>6400.1</v>
      </c>
      <c r="F13" s="13">
        <f>'Expend - General'!G13+'Expend - Fabric'!G13+'Expend - FlowerFund'!G13+'Expend - SSchoolFund'!G13+'Expend - ReithMemorial'!G13+'Expend - SfSFund'!G13+'Expend - Guild'!G13+'Expend - Organ'!G13+'Expend - JrChurch'!G13+'Expend - Benevolent'!G13+'Expend - Friday'!G13</f>
        <v>6400.1</v>
      </c>
      <c r="G13" s="13">
        <f>'Expend - General'!H13+'Expend - Fabric'!H13+'Expend - FlowerFund'!H13+'Expend - SSchoolFund'!H13+'Expend - ReithMemorial'!H13+'Expend - SfSFund'!H13+'Expend - Guild'!H13+'Expend - Organ'!H13+'Expend - JrChurch'!H13+'Expend - Benevolent'!H13+'Expend - Friday'!H13</f>
        <v>0</v>
      </c>
      <c r="H13" s="13">
        <f>'Expend - General'!I13+'Expend - Fabric'!I13+'Expend - FlowerFund'!I13+'Expend - SSchoolFund'!I13+'Expend - ReithMemorial'!I13+'Expend - SfSFund'!I13+'Expend - Guild'!I13+'Expend - Organ'!I13+'Expend - JrChurch'!I13+'Expend - Benevolent'!I13+'Expend - Friday'!I13</f>
        <v>0</v>
      </c>
      <c r="I13" s="13">
        <f>'Expend - General'!J13+'Expend - Fabric'!J13+'Expend - FlowerFund'!J13+'Expend - SSchoolFund'!J13+'Expend - ReithMemorial'!J13+'Expend - SfSFund'!J13+'Expend - Guild'!J13+'Expend - Organ'!J13+'Expend - JrChurch'!J13+'Expend - Benevolent'!J13+'Expend - Friday'!J13</f>
        <v>0</v>
      </c>
      <c r="J13" s="13">
        <f>'Expend - General'!K13+'Expend - Fabric'!K13+'Expend - FlowerFund'!K13+'Expend - SSchoolFund'!K13+'Expend - ReithMemorial'!K13+'Expend - SfSFund'!K13+'Expend - Guild'!K13+'Expend - Organ'!K13+'Expend - JrChurch'!K13+'Expend - Benevolent'!K13+'Expend - Friday'!K13</f>
        <v>0</v>
      </c>
      <c r="K13" s="13">
        <f>'Expend - General'!L13+'Expend - Fabric'!L13+'Expend - FlowerFund'!L13+'Expend - SSchoolFund'!L13+'Expend - ReithMemorial'!L13+'Expend - SfSFund'!L13+'Expend - Guild'!L13+'Expend - Organ'!L13+'Expend - JrChurch'!L13+'Expend - Benevolent'!L13+'Expend - Friday'!L13</f>
        <v>0</v>
      </c>
      <c r="L13" s="13">
        <f>'Expend - General'!M13+'Expend - Fabric'!M13+'Expend - FlowerFund'!M13+'Expend - SSchoolFund'!M13+'Expend - ReithMemorial'!M13+'Expend - SfSFund'!M13+'Expend - Guild'!M13+'Expend - Organ'!M13+'Expend - JrChurch'!M13+'Expend - Benevolent'!M13+'Expend - Friday'!M13</f>
        <v>0</v>
      </c>
      <c r="M13" s="13">
        <f>'Expend - General'!N13+'Expend - Fabric'!N13+'Expend - FlowerFund'!N13+'Expend - SSchoolFund'!N13+'Expend - ReithMemorial'!N13+'Expend - SfSFund'!N13+'Expend - Guild'!N13+'Expend - Organ'!N13+'Expend - JrChurch'!N13+'Expend - Benevolent'!N13+'Expend - Friday'!N13</f>
        <v>0</v>
      </c>
      <c r="N13" s="13">
        <f t="shared" ref="N13:N20" si="1">SUM(B13:M13)</f>
        <v>25600.400000000001</v>
      </c>
      <c r="O13" s="13"/>
      <c r="P13" s="13">
        <f t="shared" ref="P13:P58" si="2">N13-O13</f>
        <v>25600.400000000001</v>
      </c>
      <c r="Q13" s="13"/>
      <c r="R13" s="13"/>
      <c r="S13" s="13"/>
      <c r="T13" s="13"/>
      <c r="U13" s="13"/>
      <c r="V13" s="13"/>
      <c r="W13" s="13">
        <f>SUM(P13:V13)</f>
        <v>25600.400000000001</v>
      </c>
      <c r="Y13" s="13">
        <f>SUMIF('Expend - OverallBUD'!$C$4:$N$4,'Expend - Overall'!$Y$2,'Expend - OverallBUD'!$C13:$N13)</f>
        <v>25600.400000000001</v>
      </c>
      <c r="Z13" s="13">
        <f>Y13-N13</f>
        <v>0</v>
      </c>
      <c r="AB13" s="13">
        <f>SUMIF('Expend - OverallPY'!$B$4:$M$4,'Expend - Overall'!$AB$2,'Expend - OverallPY'!$B13:$M13)</f>
        <v>23486.5</v>
      </c>
      <c r="AC13" s="13">
        <f>AB13-N13</f>
        <v>-2113.9000000000015</v>
      </c>
      <c r="AD13" s="190">
        <f>IF(ISERROR((AB13/N13)-1),"-",(AB13/N13)-1)</f>
        <v>-8.2572928547991475E-2</v>
      </c>
      <c r="AE13" s="13"/>
    </row>
    <row r="14" spans="1:31">
      <c r="A14" s="15" t="s">
        <v>93</v>
      </c>
      <c r="B14" s="13">
        <f>'Expend - General'!C14+'Expend - Fabric'!C14+'Expend - FlowerFund'!C14+'Expend - SSchoolFund'!C14+'Expend - ReithMemorial'!C14+'Expend - SfSFund'!C14+'Expend - Guild'!C14+'Expend - Organ'!C14+'Expend - JrChurch'!C14+'Expend - Benevolent'!C14+'Expend - Friday'!C14</f>
        <v>0</v>
      </c>
      <c r="C14" s="13">
        <f>'Expend - General'!D14+'Expend - Fabric'!D14+'Expend - FlowerFund'!D14+'Expend - SSchoolFund'!D14+'Expend - ReithMemorial'!D14+'Expend - SfSFund'!D14+'Expend - Guild'!D14+'Expend - Organ'!D14+'Expend - JrChurch'!D14+'Expend - Benevolent'!D14+'Expend - Friday'!D14</f>
        <v>0</v>
      </c>
      <c r="D14" s="13">
        <f>'Expend - General'!E14+'Expend - Fabric'!E14+'Expend - FlowerFund'!E14+'Expend - SSchoolFund'!E14+'Expend - ReithMemorial'!E14+'Expend - SfSFund'!E14+'Expend - Guild'!E14+'Expend - Organ'!E14+'Expend - JrChurch'!E14+'Expend - Benevolent'!E14+'Expend - Friday'!E14</f>
        <v>3367</v>
      </c>
      <c r="E14" s="13">
        <f>'Expend - General'!F14+'Expend - Fabric'!F14+'Expend - FlowerFund'!F14+'Expend - SSchoolFund'!F14+'Expend - ReithMemorial'!F14+'Expend - SfSFund'!F14+'Expend - Guild'!F14+'Expend - Organ'!F14+'Expend - JrChurch'!F14+'Expend - Benevolent'!F14+'Expend - Friday'!F14</f>
        <v>0</v>
      </c>
      <c r="F14" s="13">
        <f>'Expend - General'!G14+'Expend - Fabric'!G14+'Expend - FlowerFund'!G14+'Expend - SSchoolFund'!G14+'Expend - ReithMemorial'!G14+'Expend - SfSFund'!G14+'Expend - Guild'!G14+'Expend - Organ'!G14+'Expend - JrChurch'!G14+'Expend - Benevolent'!G14+'Expend - Friday'!G14</f>
        <v>0</v>
      </c>
      <c r="G14" s="13">
        <f>'Expend - General'!H14+'Expend - Fabric'!H14+'Expend - FlowerFund'!H14+'Expend - SSchoolFund'!H14+'Expend - ReithMemorial'!H14+'Expend - SfSFund'!H14+'Expend - Guild'!H14+'Expend - Organ'!H14+'Expend - JrChurch'!H14+'Expend - Benevolent'!H14+'Expend - Friday'!H14</f>
        <v>0</v>
      </c>
      <c r="H14" s="13">
        <f>'Expend - General'!I14+'Expend - Fabric'!I14+'Expend - FlowerFund'!I14+'Expend - SSchoolFund'!I14+'Expend - ReithMemorial'!I14+'Expend - SfSFund'!I14+'Expend - Guild'!I14+'Expend - Organ'!I14+'Expend - JrChurch'!I14+'Expend - Benevolent'!I14+'Expend - Friday'!I14</f>
        <v>0</v>
      </c>
      <c r="I14" s="13">
        <f>'Expend - General'!J14+'Expend - Fabric'!J14+'Expend - FlowerFund'!J14+'Expend - SSchoolFund'!J14+'Expend - ReithMemorial'!J14+'Expend - SfSFund'!J14+'Expend - Guild'!J14+'Expend - Organ'!J14+'Expend - JrChurch'!J14+'Expend - Benevolent'!J14+'Expend - Friday'!J14</f>
        <v>0</v>
      </c>
      <c r="J14" s="13">
        <f>'Expend - General'!K14+'Expend - Fabric'!K14+'Expend - FlowerFund'!K14+'Expend - SSchoolFund'!K14+'Expend - ReithMemorial'!K14+'Expend - SfSFund'!K14+'Expend - Guild'!K14+'Expend - Organ'!K14+'Expend - JrChurch'!K14+'Expend - Benevolent'!K14+'Expend - Friday'!K14</f>
        <v>0</v>
      </c>
      <c r="K14" s="13">
        <f>'Expend - General'!L14+'Expend - Fabric'!L14+'Expend - FlowerFund'!L14+'Expend - SSchoolFund'!L14+'Expend - ReithMemorial'!L14+'Expend - SfSFund'!L14+'Expend - Guild'!L14+'Expend - Organ'!L14+'Expend - JrChurch'!L14+'Expend - Benevolent'!L14+'Expend - Friday'!L14</f>
        <v>0</v>
      </c>
      <c r="L14" s="13">
        <f>'Expend - General'!M14+'Expend - Fabric'!M14+'Expend - FlowerFund'!M14+'Expend - SSchoolFund'!M14+'Expend - ReithMemorial'!M14+'Expend - SfSFund'!M14+'Expend - Guild'!M14+'Expend - Organ'!M14+'Expend - JrChurch'!M14+'Expend - Benevolent'!M14+'Expend - Friday'!M14</f>
        <v>0</v>
      </c>
      <c r="M14" s="13">
        <f>'Expend - General'!N14+'Expend - Fabric'!N14+'Expend - FlowerFund'!N14+'Expend - SSchoolFund'!N14+'Expend - ReithMemorial'!N14+'Expend - SfSFund'!N14+'Expend - Guild'!N14+'Expend - Organ'!N14+'Expend - JrChurch'!N14+'Expend - Benevolent'!N14+'Expend - Friday'!N14</f>
        <v>0</v>
      </c>
      <c r="N14" s="13">
        <f t="shared" si="1"/>
        <v>3367</v>
      </c>
      <c r="O14" s="13"/>
      <c r="P14" s="13">
        <f t="shared" si="2"/>
        <v>3367</v>
      </c>
      <c r="Q14" s="13"/>
      <c r="R14" s="13"/>
      <c r="S14" s="13"/>
      <c r="T14" s="13"/>
      <c r="U14" s="13"/>
      <c r="V14" s="13"/>
      <c r="W14" s="13">
        <f>SUM(P14:V14)</f>
        <v>3367</v>
      </c>
      <c r="Y14" s="13">
        <f>SUMIF('Expend - OverallBUD'!$C$4:$N$4,'Expend - Overall'!$Y$2,'Expend - OverallBUD'!$C14:$N14)</f>
        <v>3367</v>
      </c>
      <c r="Z14" s="13">
        <f>Y14-N14</f>
        <v>0</v>
      </c>
      <c r="AB14" s="13">
        <f>SUMIF('Expend - OverallPY'!$B$4:$M$4,'Expend - Overall'!$AB$2,'Expend - OverallPY'!$B14:$M14)</f>
        <v>3056</v>
      </c>
      <c r="AC14" s="13">
        <f>AB14-N14</f>
        <v>-311</v>
      </c>
      <c r="AD14" s="190">
        <f>IF(ISERROR((AB14/N14)-1),"-",(AB14/N14)-1)</f>
        <v>-9.2367092367092396E-2</v>
      </c>
      <c r="AE14" s="13"/>
    </row>
    <row r="15" spans="1:31">
      <c r="A15" s="15" t="s">
        <v>94</v>
      </c>
      <c r="B15" s="13">
        <f>SUM(B16:B17)</f>
        <v>287.5</v>
      </c>
      <c r="C15" s="13">
        <f t="shared" ref="C15:O15" si="3">SUM(C16:C17)</f>
        <v>11.5</v>
      </c>
      <c r="D15" s="13">
        <f t="shared" si="3"/>
        <v>11.5</v>
      </c>
      <c r="E15" s="13">
        <f t="shared" si="3"/>
        <v>379.5</v>
      </c>
      <c r="F15" s="13">
        <f t="shared" si="3"/>
        <v>11.5</v>
      </c>
      <c r="G15" s="13">
        <f t="shared" si="3"/>
        <v>0</v>
      </c>
      <c r="H15" s="13">
        <f t="shared" si="3"/>
        <v>0</v>
      </c>
      <c r="I15" s="13">
        <f t="shared" si="3"/>
        <v>0</v>
      </c>
      <c r="J15" s="13">
        <f t="shared" si="3"/>
        <v>0</v>
      </c>
      <c r="K15" s="13">
        <f t="shared" si="3"/>
        <v>0</v>
      </c>
      <c r="L15" s="13">
        <f t="shared" si="3"/>
        <v>0</v>
      </c>
      <c r="M15" s="13">
        <f t="shared" si="3"/>
        <v>0</v>
      </c>
      <c r="N15" s="13">
        <f t="shared" si="1"/>
        <v>701.5</v>
      </c>
      <c r="O15" s="13">
        <f t="shared" si="3"/>
        <v>0</v>
      </c>
      <c r="P15" s="13">
        <f t="shared" si="2"/>
        <v>701.5</v>
      </c>
      <c r="Q15" s="13"/>
      <c r="R15" s="13"/>
      <c r="S15" s="13"/>
      <c r="T15" s="13"/>
      <c r="U15" s="13"/>
      <c r="V15" s="13"/>
      <c r="W15" s="13">
        <f>SUM(P15:V15)</f>
        <v>701.5</v>
      </c>
      <c r="Y15" s="13">
        <f>SUMIF('Expend - OverallBUD'!$C$4:$N$4,'Expend - Overall'!$Y$2,'Expend - OverallBUD'!$C15:$N15)</f>
        <v>300</v>
      </c>
      <c r="Z15" s="13">
        <f>SUM(Z16:Z17)</f>
        <v>-401.5</v>
      </c>
      <c r="AB15" s="13">
        <f>SUM(AB16:AB17)</f>
        <v>297.5</v>
      </c>
      <c r="AC15" s="13">
        <f>AB15-N15</f>
        <v>-404</v>
      </c>
      <c r="AD15" s="190">
        <f>IF(ISERROR((AB15/N15)-1),"-",(AB15/N15)-1)</f>
        <v>-0.57590876692801141</v>
      </c>
      <c r="AE15" s="13"/>
    </row>
    <row r="16" spans="1:31" s="19" customFormat="1">
      <c r="A16" s="20" t="s">
        <v>95</v>
      </c>
      <c r="B16" s="32">
        <f>'Expend - General'!C16+'Expend - Fabric'!C16+'Expend - FlowerFund'!C16+'Expend - SSchoolFund'!C16+'Expend - ReithMemorial'!C16+'Expend - SfSFund'!C16+'Expend - Guild'!C16+'Expend - Organ'!C16+'Expend - JrChurch'!C16+'Expend - Benevolent'!C16+'Expend - Friday'!C16</f>
        <v>11.5</v>
      </c>
      <c r="C16" s="32">
        <f>'Expend - General'!D16+'Expend - Fabric'!D16+'Expend - FlowerFund'!D16+'Expend - SSchoolFund'!D16+'Expend - ReithMemorial'!D16+'Expend - SfSFund'!D16+'Expend - Guild'!D16+'Expend - Organ'!D16+'Expend - JrChurch'!D16+'Expend - Benevolent'!D16+'Expend - Friday'!D16</f>
        <v>11.5</v>
      </c>
      <c r="D16" s="32">
        <f>'Expend - General'!E16+'Expend - Fabric'!E16+'Expend - FlowerFund'!E16+'Expend - SSchoolFund'!E16+'Expend - ReithMemorial'!E16+'Expend - SfSFund'!E16+'Expend - Guild'!E16+'Expend - Organ'!E16+'Expend - JrChurch'!E16+'Expend - Benevolent'!E16+'Expend - Friday'!E16</f>
        <v>11.5</v>
      </c>
      <c r="E16" s="32">
        <f>'Expend - General'!F16+'Expend - Fabric'!F16+'Expend - FlowerFund'!F16+'Expend - SSchoolFund'!F16+'Expend - ReithMemorial'!F16+'Expend - SfSFund'!F16+'Expend - Guild'!F16+'Expend - Organ'!F16+'Expend - JrChurch'!F16+'Expend - Benevolent'!F16+'Expend - Friday'!F16</f>
        <v>11.5</v>
      </c>
      <c r="F16" s="32">
        <f>'Expend - General'!G16+'Expend - Fabric'!G16+'Expend - FlowerFund'!G16+'Expend - SSchoolFund'!G16+'Expend - ReithMemorial'!G16+'Expend - SfSFund'!G16+'Expend - Guild'!G16+'Expend - Organ'!G16+'Expend - JrChurch'!G16+'Expend - Benevolent'!G16+'Expend - Friday'!G16</f>
        <v>11.5</v>
      </c>
      <c r="G16" s="32">
        <f>'Expend - General'!H16+'Expend - Fabric'!H16+'Expend - FlowerFund'!H16+'Expend - SSchoolFund'!H16+'Expend - ReithMemorial'!H16+'Expend - SfSFund'!H16+'Expend - Guild'!H16+'Expend - Organ'!H16+'Expend - JrChurch'!H16+'Expend - Benevolent'!H16+'Expend - Friday'!H16</f>
        <v>0</v>
      </c>
      <c r="H16" s="32">
        <f>'Expend - General'!I16+'Expend - Fabric'!I16+'Expend - FlowerFund'!I16+'Expend - SSchoolFund'!I16+'Expend - ReithMemorial'!I16+'Expend - SfSFund'!I16+'Expend - Guild'!I16+'Expend - Organ'!I16+'Expend - JrChurch'!I16+'Expend - Benevolent'!I16+'Expend - Friday'!I16</f>
        <v>0</v>
      </c>
      <c r="I16" s="32">
        <f>'Expend - General'!J16+'Expend - Fabric'!J16+'Expend - FlowerFund'!J16+'Expend - SSchoolFund'!J16+'Expend - ReithMemorial'!J16+'Expend - SfSFund'!J16+'Expend - Guild'!J16+'Expend - Organ'!J16+'Expend - JrChurch'!J16+'Expend - Benevolent'!J16+'Expend - Friday'!J16</f>
        <v>0</v>
      </c>
      <c r="J16" s="32">
        <f>'Expend - General'!K16+'Expend - Fabric'!K16+'Expend - FlowerFund'!K16+'Expend - SSchoolFund'!K16+'Expend - ReithMemorial'!K16+'Expend - SfSFund'!K16+'Expend - Guild'!K16+'Expend - Organ'!K16+'Expend - JrChurch'!K16+'Expend - Benevolent'!K16+'Expend - Friday'!K16</f>
        <v>0</v>
      </c>
      <c r="K16" s="32">
        <f>'Expend - General'!L16+'Expend - Fabric'!L16+'Expend - FlowerFund'!L16+'Expend - SSchoolFund'!L16+'Expend - ReithMemorial'!L16+'Expend - SfSFund'!L16+'Expend - Guild'!L16+'Expend - Organ'!L16+'Expend - JrChurch'!L16+'Expend - Benevolent'!L16+'Expend - Friday'!L16</f>
        <v>0</v>
      </c>
      <c r="L16" s="32">
        <f>'Expend - General'!M16+'Expend - Fabric'!M16+'Expend - FlowerFund'!M16+'Expend - SSchoolFund'!M16+'Expend - ReithMemorial'!M16+'Expend - SfSFund'!M16+'Expend - Guild'!M16+'Expend - Organ'!M16+'Expend - JrChurch'!M16+'Expend - Benevolent'!M16+'Expend - Friday'!M16</f>
        <v>0</v>
      </c>
      <c r="M16" s="32">
        <f>'Expend - General'!N16+'Expend - Fabric'!N16+'Expend - FlowerFund'!N16+'Expend - SSchoolFund'!N16+'Expend - ReithMemorial'!N16+'Expend - SfSFund'!N16+'Expend - Guild'!N16+'Expend - Organ'!N16+'Expend - JrChurch'!N16+'Expend - Benevolent'!N16+'Expend - Friday'!N16</f>
        <v>0</v>
      </c>
      <c r="N16" s="33">
        <f t="shared" si="1"/>
        <v>57.5</v>
      </c>
      <c r="O16" s="36"/>
      <c r="P16" s="13">
        <f t="shared" si="2"/>
        <v>57.5</v>
      </c>
      <c r="Q16" s="13"/>
      <c r="R16" s="13"/>
      <c r="S16" s="13"/>
      <c r="T16" s="13"/>
      <c r="U16" s="13"/>
      <c r="V16" s="13"/>
      <c r="W16" s="13">
        <f>SUM(P16:V16)</f>
        <v>57.5</v>
      </c>
      <c r="Y16" s="127">
        <f>SUMIF('Expend - OverallBUD'!$C$4:$N$4,'Expend - Overall'!$Y$2,'Expend - OverallBUD'!$C16:$N16)</f>
        <v>60</v>
      </c>
      <c r="Z16" s="33">
        <f>Y16-N16</f>
        <v>2.5</v>
      </c>
      <c r="AB16" s="127">
        <f>SUMIF('Expend - OverallPY'!$B$4:$M$4,'Expend - Overall'!$AB$2,'Expend - OverallPY'!$B16:$M16)</f>
        <v>57.5</v>
      </c>
      <c r="AC16" s="32">
        <f>AB16-N16</f>
        <v>0</v>
      </c>
      <c r="AD16" s="192">
        <f>IF(ISERROR((AB16/N16)-1),"-",(AB16/N16)-1)</f>
        <v>0</v>
      </c>
      <c r="AE16" s="36"/>
    </row>
    <row r="17" spans="1:31" s="19" customFormat="1">
      <c r="A17" s="22" t="s">
        <v>96</v>
      </c>
      <c r="B17" s="34">
        <f>'Expend - General'!C17+'Expend - Fabric'!C17+'Expend - FlowerFund'!C17+'Expend - SSchoolFund'!C17+'Expend - ReithMemorial'!C17+'Expend - SfSFund'!C17+'Expend - Guild'!C17+'Expend - Organ'!C17+'Expend - JrChurch'!C17+'Expend - Benevolent'!C17+'Expend - Friday'!C17</f>
        <v>276</v>
      </c>
      <c r="C17" s="34">
        <f>'Expend - General'!D17+'Expend - Fabric'!D17+'Expend - FlowerFund'!D17+'Expend - SSchoolFund'!D17+'Expend - ReithMemorial'!D17+'Expend - SfSFund'!D17+'Expend - Guild'!D17+'Expend - Organ'!D17+'Expend - JrChurch'!D17+'Expend - Benevolent'!D17+'Expend - Friday'!D17</f>
        <v>0</v>
      </c>
      <c r="D17" s="34">
        <f>'Expend - General'!E17+'Expend - Fabric'!E17+'Expend - FlowerFund'!E17+'Expend - SSchoolFund'!E17+'Expend - ReithMemorial'!E17+'Expend - SfSFund'!E17+'Expend - Guild'!E17+'Expend - Organ'!E17+'Expend - JrChurch'!E17+'Expend - Benevolent'!E17+'Expend - Friday'!E17</f>
        <v>0</v>
      </c>
      <c r="E17" s="34">
        <f>'Expend - General'!F17+'Expend - Fabric'!F17+'Expend - FlowerFund'!F17+'Expend - SSchoolFund'!F17+'Expend - ReithMemorial'!F17+'Expend - SfSFund'!F17+'Expend - Guild'!F17+'Expend - Organ'!F17+'Expend - JrChurch'!F17+'Expend - Benevolent'!F17+'Expend - Friday'!F17</f>
        <v>368</v>
      </c>
      <c r="F17" s="34">
        <f>'Expend - General'!G17+'Expend - Fabric'!G17+'Expend - FlowerFund'!G17+'Expend - SSchoolFund'!G17+'Expend - ReithMemorial'!G17+'Expend - SfSFund'!G17+'Expend - Guild'!G17+'Expend - Organ'!G17+'Expend - JrChurch'!G17+'Expend - Benevolent'!G17+'Expend - Friday'!G17</f>
        <v>0</v>
      </c>
      <c r="G17" s="34">
        <f>'Expend - General'!H17+'Expend - Fabric'!H17+'Expend - FlowerFund'!H17+'Expend - SSchoolFund'!H17+'Expend - ReithMemorial'!H17+'Expend - SfSFund'!H17+'Expend - Guild'!H17+'Expend - Organ'!H17+'Expend - JrChurch'!H17+'Expend - Benevolent'!H17+'Expend - Friday'!H17</f>
        <v>0</v>
      </c>
      <c r="H17" s="34">
        <f>'Expend - General'!I17+'Expend - Fabric'!I17+'Expend - FlowerFund'!I17+'Expend - SSchoolFund'!I17+'Expend - ReithMemorial'!I17+'Expend - SfSFund'!I17+'Expend - Guild'!I17+'Expend - Organ'!I17+'Expend - JrChurch'!I17+'Expend - Benevolent'!I17+'Expend - Friday'!I17</f>
        <v>0</v>
      </c>
      <c r="I17" s="34">
        <f>'Expend - General'!J17+'Expend - Fabric'!J17+'Expend - FlowerFund'!J17+'Expend - SSchoolFund'!J17+'Expend - ReithMemorial'!J17+'Expend - SfSFund'!J17+'Expend - Guild'!J17+'Expend - Organ'!J17+'Expend - JrChurch'!J17+'Expend - Benevolent'!J17+'Expend - Friday'!J17</f>
        <v>0</v>
      </c>
      <c r="J17" s="34">
        <f>'Expend - General'!K17+'Expend - Fabric'!K17+'Expend - FlowerFund'!K17+'Expend - SSchoolFund'!K17+'Expend - ReithMemorial'!K17+'Expend - SfSFund'!K17+'Expend - Guild'!K17+'Expend - Organ'!K17+'Expend - JrChurch'!K17+'Expend - Benevolent'!K17+'Expend - Friday'!K17</f>
        <v>0</v>
      </c>
      <c r="K17" s="34">
        <f>'Expend - General'!L17+'Expend - Fabric'!L17+'Expend - FlowerFund'!L17+'Expend - SSchoolFund'!L17+'Expend - ReithMemorial'!L17+'Expend - SfSFund'!L17+'Expend - Guild'!L17+'Expend - Organ'!L17+'Expend - JrChurch'!L17+'Expend - Benevolent'!L17+'Expend - Friday'!L17</f>
        <v>0</v>
      </c>
      <c r="L17" s="34">
        <f>'Expend - General'!M17+'Expend - Fabric'!M17+'Expend - FlowerFund'!M17+'Expend - SSchoolFund'!M17+'Expend - ReithMemorial'!M17+'Expend - SfSFund'!M17+'Expend - Guild'!M17+'Expend - Organ'!M17+'Expend - JrChurch'!M17+'Expend - Benevolent'!M17+'Expend - Friday'!M17</f>
        <v>0</v>
      </c>
      <c r="M17" s="34">
        <f>'Expend - General'!N17+'Expend - Fabric'!N17+'Expend - FlowerFund'!N17+'Expend - SSchoolFund'!N17+'Expend - ReithMemorial'!N17+'Expend - SfSFund'!N17+'Expend - Guild'!N17+'Expend - Organ'!N17+'Expend - JrChurch'!N17+'Expend - Benevolent'!N17+'Expend - Friday'!N17</f>
        <v>0</v>
      </c>
      <c r="N17" s="35">
        <f t="shared" si="1"/>
        <v>644</v>
      </c>
      <c r="O17" s="36"/>
      <c r="P17" s="13">
        <f t="shared" si="2"/>
        <v>644</v>
      </c>
      <c r="Q17" s="13"/>
      <c r="R17" s="13"/>
      <c r="S17" s="13"/>
      <c r="T17" s="13"/>
      <c r="U17" s="13"/>
      <c r="V17" s="13"/>
      <c r="W17" s="13">
        <f>SUM(P17:V17)</f>
        <v>644</v>
      </c>
      <c r="Y17" s="129">
        <f>SUMIF('Expend - OverallBUD'!$C$4:$N$4,'Expend - Overall'!$Y$2,'Expend - OverallBUD'!$C17:$N17)</f>
        <v>240</v>
      </c>
      <c r="Z17" s="35">
        <f>Y17-N17</f>
        <v>-404</v>
      </c>
      <c r="AB17" s="129">
        <f>SUMIF('Expend - OverallPY'!$B$4:$M$4,'Expend - Overall'!$AB$2,'Expend - OverallPY'!$B17:$M17)</f>
        <v>240</v>
      </c>
      <c r="AC17" s="34">
        <f>AB17-N17</f>
        <v>-404</v>
      </c>
      <c r="AD17" s="193">
        <f>IF(ISERROR((AB17/N17)-1),"-",(AB17/N17)-1)</f>
        <v>-0.62732919254658381</v>
      </c>
      <c r="AE17" s="36"/>
    </row>
    <row r="18" spans="1:31" s="19" customFormat="1">
      <c r="A18" s="38"/>
      <c r="B18" s="36"/>
      <c r="C18" s="36"/>
      <c r="D18" s="36"/>
      <c r="E18" s="36"/>
      <c r="F18" s="36"/>
      <c r="G18" s="36"/>
      <c r="H18" s="36"/>
      <c r="I18" s="36"/>
      <c r="J18" s="36"/>
      <c r="K18" s="36"/>
      <c r="L18" s="36"/>
      <c r="M18" s="36"/>
      <c r="N18" s="36"/>
      <c r="O18" s="36"/>
      <c r="P18" s="13"/>
      <c r="Q18" s="13"/>
      <c r="R18" s="13"/>
      <c r="S18" s="13"/>
      <c r="T18" s="13"/>
      <c r="U18" s="13"/>
      <c r="V18" s="13"/>
      <c r="W18" s="13"/>
      <c r="Y18" s="36"/>
      <c r="Z18" s="36"/>
      <c r="AB18" s="36"/>
      <c r="AE18" s="36"/>
    </row>
    <row r="19" spans="1:31">
      <c r="A19" s="15" t="s">
        <v>97</v>
      </c>
      <c r="B19" s="13">
        <f>'Expend - General'!C19+'Expend - Fabric'!C19+'Expend - FlowerFund'!C19+'Expend - SSchoolFund'!C19+'Expend - ReithMemorial'!C19+'Expend - SfSFund'!C19+'Expend - Guild'!C19+'Expend - Organ'!C19+'Expend - JrChurch'!C19+'Expend - Benevolent'!C19+'Expend - Friday'!C19</f>
        <v>0</v>
      </c>
      <c r="C19" s="13">
        <f>'Expend - General'!D19+'Expend - Fabric'!D19+'Expend - FlowerFund'!D19+'Expend - SSchoolFund'!D19+'Expend - ReithMemorial'!D19+'Expend - SfSFund'!D19+'Expend - Guild'!D19+'Expend - Organ'!D19+'Expend - JrChurch'!D19+'Expend - Benevolent'!D19+'Expend - Friday'!D19</f>
        <v>0</v>
      </c>
      <c r="D19" s="13">
        <f>'Expend - General'!E19+'Expend - Fabric'!E19+'Expend - FlowerFund'!E19+'Expend - SSchoolFund'!E19+'Expend - ReithMemorial'!E19+'Expend - SfSFund'!E19+'Expend - Guild'!E19+'Expend - Organ'!E19+'Expend - JrChurch'!E19+'Expend - Benevolent'!E19+'Expend - Friday'!E19</f>
        <v>0</v>
      </c>
      <c r="E19" s="13">
        <f>'Expend - General'!F19+'Expend - Fabric'!F19+'Expend - FlowerFund'!F19+'Expend - SSchoolFund'!F19+'Expend - ReithMemorial'!F19+'Expend - SfSFund'!F19+'Expend - Guild'!F19+'Expend - Organ'!F19+'Expend - JrChurch'!F19+'Expend - Benevolent'!F19+'Expend - Friday'!F19</f>
        <v>0</v>
      </c>
      <c r="F19" s="13">
        <f>'Expend - General'!G19+'Expend - Fabric'!G19+'Expend - FlowerFund'!G19+'Expend - SSchoolFund'!G19+'Expend - ReithMemorial'!G19+'Expend - SfSFund'!G19+'Expend - Guild'!G19+'Expend - Organ'!G19+'Expend - JrChurch'!G19+'Expend - Benevolent'!G19+'Expend - Friday'!G19</f>
        <v>0</v>
      </c>
      <c r="G19" s="13">
        <f>'Expend - General'!H19+'Expend - Fabric'!H19+'Expend - FlowerFund'!H19+'Expend - SSchoolFund'!H19+'Expend - ReithMemorial'!H19+'Expend - SfSFund'!H19+'Expend - Guild'!H19+'Expend - Organ'!H19+'Expend - JrChurch'!H19+'Expend - Benevolent'!H19+'Expend - Friday'!H19</f>
        <v>0</v>
      </c>
      <c r="H19" s="13">
        <f>'Expend - General'!I19+'Expend - Fabric'!I19+'Expend - FlowerFund'!I19+'Expend - SSchoolFund'!I19+'Expend - ReithMemorial'!I19+'Expend - SfSFund'!I19+'Expend - Guild'!I19+'Expend - Organ'!I19+'Expend - JrChurch'!I19+'Expend - Benevolent'!I19+'Expend - Friday'!I19</f>
        <v>0</v>
      </c>
      <c r="I19" s="13">
        <f>'Expend - General'!J19+'Expend - Fabric'!J19+'Expend - FlowerFund'!J19+'Expend - SSchoolFund'!J19+'Expend - ReithMemorial'!J19+'Expend - SfSFund'!J19+'Expend - Guild'!J19+'Expend - Organ'!J19+'Expend - JrChurch'!J19+'Expend - Benevolent'!J19+'Expend - Friday'!J19</f>
        <v>0</v>
      </c>
      <c r="J19" s="13">
        <f>'Expend - General'!K19+'Expend - Fabric'!K19+'Expend - FlowerFund'!K19+'Expend - SSchoolFund'!K19+'Expend - ReithMemorial'!K19+'Expend - SfSFund'!K19+'Expend - Guild'!K19+'Expend - Organ'!K19+'Expend - JrChurch'!K19+'Expend - Benevolent'!K19+'Expend - Friday'!K19</f>
        <v>0</v>
      </c>
      <c r="K19" s="13">
        <f>'Expend - General'!L19+'Expend - Fabric'!L19+'Expend - FlowerFund'!L19+'Expend - SSchoolFund'!L19+'Expend - ReithMemorial'!L19+'Expend - SfSFund'!L19+'Expend - Guild'!L19+'Expend - Organ'!L19+'Expend - JrChurch'!L19+'Expend - Benevolent'!L19+'Expend - Friday'!L19</f>
        <v>0</v>
      </c>
      <c r="L19" s="13">
        <f>'Expend - General'!M19+'Expend - Fabric'!M19+'Expend - FlowerFund'!M19+'Expend - SSchoolFund'!M19+'Expend - ReithMemorial'!M19+'Expend - SfSFund'!M19+'Expend - Guild'!M19+'Expend - Organ'!M19+'Expend - JrChurch'!M19+'Expend - Benevolent'!M19+'Expend - Friday'!M19</f>
        <v>0</v>
      </c>
      <c r="M19" s="13">
        <f>'Expend - General'!N19+'Expend - Fabric'!N19+'Expend - FlowerFund'!N19+'Expend - SSchoolFund'!N19+'Expend - ReithMemorial'!N19+'Expend - SfSFund'!N19+'Expend - Guild'!N19+'Expend - Organ'!N19+'Expend - JrChurch'!N19+'Expend - Benevolent'!N19+'Expend - Friday'!N19</f>
        <v>0</v>
      </c>
      <c r="N19" s="13">
        <f t="shared" si="1"/>
        <v>0</v>
      </c>
      <c r="O19" s="13"/>
      <c r="P19" s="13">
        <f t="shared" si="2"/>
        <v>0</v>
      </c>
      <c r="Q19" s="13"/>
      <c r="R19" s="13"/>
      <c r="S19" s="13"/>
      <c r="T19" s="13"/>
      <c r="U19" s="13"/>
      <c r="V19" s="13"/>
      <c r="W19" s="13">
        <f t="shared" ref="W19:W30" si="4">SUM(P19:V19)</f>
        <v>0</v>
      </c>
      <c r="Y19" s="13">
        <f>SUMIF('Expend - OverallBUD'!$C$4:$N$4,'Expend - Overall'!$Y$2,'Expend - OverallBUD'!$C19:$N19)</f>
        <v>0</v>
      </c>
      <c r="Z19" s="13">
        <f>Y19-N19</f>
        <v>0</v>
      </c>
      <c r="AB19" s="13">
        <f>SUMIF('Expend - OverallPY'!$B$4:$M$4,'Expend - Overall'!$AB$2,'Expend - OverallPY'!$B19:$M19)</f>
        <v>0</v>
      </c>
      <c r="AC19" s="13">
        <f t="shared" ref="AC19:AC28" si="5">AB19-N19</f>
        <v>0</v>
      </c>
      <c r="AD19" s="190" t="str">
        <f>IF(ISERROR((AB19/N19)-1),"-",(AB19/N19)-1)</f>
        <v>-</v>
      </c>
      <c r="AE19" s="13"/>
    </row>
    <row r="20" spans="1:31">
      <c r="A20" s="15" t="s">
        <v>98</v>
      </c>
      <c r="B20" s="13">
        <f>'Expend - General'!C20+'Expend - Fabric'!C20+'Expend - FlowerFund'!C20+'Expend - SSchoolFund'!C20+'Expend - ReithMemorial'!C20+'Expend - SfSFund'!C20+'Expend - Guild'!C20+'Expend - Organ'!C20+'Expend - JrChurch'!C20+'Expend - Benevolent'!C20+'Expend - Friday'!C20</f>
        <v>0</v>
      </c>
      <c r="C20" s="13">
        <f>'Expend - General'!D20+'Expend - Fabric'!D20+'Expend - FlowerFund'!D20+'Expend - SSchoolFund'!D20+'Expend - ReithMemorial'!D20+'Expend - SfSFund'!D20+'Expend - Guild'!D20+'Expend - Organ'!D20+'Expend - JrChurch'!D20+'Expend - Benevolent'!D20+'Expend - Friday'!D20</f>
        <v>0</v>
      </c>
      <c r="D20" s="13">
        <f>'Expend - General'!E20+'Expend - Fabric'!E20+'Expend - FlowerFund'!E20+'Expend - SSchoolFund'!E20+'Expend - ReithMemorial'!E20+'Expend - SfSFund'!E20+'Expend - Guild'!E20+'Expend - Organ'!E20+'Expend - JrChurch'!E20+'Expend - Benevolent'!E20+'Expend - Friday'!E20</f>
        <v>0</v>
      </c>
      <c r="E20" s="13">
        <f>'Expend - General'!F20+'Expend - Fabric'!F20+'Expend - FlowerFund'!F20+'Expend - SSchoolFund'!F20+'Expend - ReithMemorial'!F20+'Expend - SfSFund'!F20+'Expend - Guild'!F20+'Expend - Organ'!F20+'Expend - JrChurch'!F20+'Expend - Benevolent'!F20+'Expend - Friday'!F20</f>
        <v>0</v>
      </c>
      <c r="F20" s="13">
        <f>'Expend - General'!G20+'Expend - Fabric'!G20+'Expend - FlowerFund'!G20+'Expend - SSchoolFund'!G20+'Expend - ReithMemorial'!G20+'Expend - SfSFund'!G20+'Expend - Guild'!G20+'Expend - Organ'!G20+'Expend - JrChurch'!G20+'Expend - Benevolent'!G20+'Expend - Friday'!G20</f>
        <v>0</v>
      </c>
      <c r="G20" s="13">
        <f>'Expend - General'!H20+'Expend - Fabric'!H20+'Expend - FlowerFund'!H20+'Expend - SSchoolFund'!H20+'Expend - ReithMemorial'!H20+'Expend - SfSFund'!H20+'Expend - Guild'!H20+'Expend - Organ'!H20+'Expend - JrChurch'!H20+'Expend - Benevolent'!H20+'Expend - Friday'!H20</f>
        <v>0</v>
      </c>
      <c r="H20" s="13">
        <f>'Expend - General'!I20+'Expend - Fabric'!I20+'Expend - FlowerFund'!I20+'Expend - SSchoolFund'!I20+'Expend - ReithMemorial'!I20+'Expend - SfSFund'!I20+'Expend - Guild'!I20+'Expend - Organ'!I20+'Expend - JrChurch'!I20+'Expend - Benevolent'!I20+'Expend - Friday'!I20</f>
        <v>0</v>
      </c>
      <c r="I20" s="13">
        <f>'Expend - General'!J20+'Expend - Fabric'!J20+'Expend - FlowerFund'!J20+'Expend - SSchoolFund'!J20+'Expend - ReithMemorial'!J20+'Expend - SfSFund'!J20+'Expend - Guild'!J20+'Expend - Organ'!J20+'Expend - JrChurch'!J20+'Expend - Benevolent'!J20+'Expend - Friday'!J20</f>
        <v>0</v>
      </c>
      <c r="J20" s="13">
        <f>'Expend - General'!K20+'Expend - Fabric'!K20+'Expend - FlowerFund'!K20+'Expend - SSchoolFund'!K20+'Expend - ReithMemorial'!K20+'Expend - SfSFund'!K20+'Expend - Guild'!K20+'Expend - Organ'!K20+'Expend - JrChurch'!K20+'Expend - Benevolent'!K20+'Expend - Friday'!K20</f>
        <v>0</v>
      </c>
      <c r="K20" s="13">
        <f>'Expend - General'!L20+'Expend - Fabric'!L20+'Expend - FlowerFund'!L20+'Expend - SSchoolFund'!L20+'Expend - ReithMemorial'!L20+'Expend - SfSFund'!L20+'Expend - Guild'!L20+'Expend - Organ'!L20+'Expend - JrChurch'!L20+'Expend - Benevolent'!L20+'Expend - Friday'!L20</f>
        <v>0</v>
      </c>
      <c r="L20" s="13">
        <f>'Expend - General'!M20+'Expend - Fabric'!M20+'Expend - FlowerFund'!M20+'Expend - SSchoolFund'!M20+'Expend - ReithMemorial'!M20+'Expend - SfSFund'!M20+'Expend - Guild'!M20+'Expend - Organ'!M20+'Expend - JrChurch'!M20+'Expend - Benevolent'!M20+'Expend - Friday'!M20</f>
        <v>0</v>
      </c>
      <c r="M20" s="13">
        <f>'Expend - General'!N20+'Expend - Fabric'!N20+'Expend - FlowerFund'!N20+'Expend - SSchoolFund'!N20+'Expend - ReithMemorial'!N20+'Expend - SfSFund'!N20+'Expend - Guild'!N20+'Expend - Organ'!N20+'Expend - JrChurch'!N20+'Expend - Benevolent'!N20+'Expend - Friday'!N20</f>
        <v>0</v>
      </c>
      <c r="N20" s="13">
        <f t="shared" si="1"/>
        <v>0</v>
      </c>
      <c r="O20" s="13"/>
      <c r="P20" s="13">
        <f t="shared" si="2"/>
        <v>0</v>
      </c>
      <c r="Q20" s="13"/>
      <c r="R20" s="13"/>
      <c r="S20" s="13"/>
      <c r="T20" s="13"/>
      <c r="U20" s="13"/>
      <c r="V20" s="13"/>
      <c r="W20" s="13">
        <f t="shared" si="4"/>
        <v>0</v>
      </c>
      <c r="Y20" s="13">
        <f>SUMIF('Expend - OverallBUD'!$C$4:$N$4,'Expend - Overall'!$Y$2,'Expend - OverallBUD'!$C20:$N20)</f>
        <v>0</v>
      </c>
      <c r="Z20" s="13">
        <f>Y20-N20</f>
        <v>0</v>
      </c>
      <c r="AB20" s="13">
        <f>SUMIF('Expend - OverallPY'!$B$4:$M$4,'Expend - Overall'!$AB$2,'Expend - OverallPY'!$B20:$M20)</f>
        <v>0</v>
      </c>
      <c r="AC20" s="13">
        <f t="shared" si="5"/>
        <v>0</v>
      </c>
      <c r="AD20" s="190" t="str">
        <f>IF(ISERROR((AB20/N20)-1),"-",(AB20/N20)-1)</f>
        <v>-</v>
      </c>
      <c r="AE20" s="13"/>
    </row>
    <row r="21" spans="1:31">
      <c r="A21" s="15" t="s">
        <v>99</v>
      </c>
      <c r="B21" s="13">
        <f t="shared" ref="B21:N21" si="6">SUM(B22:B31)</f>
        <v>6428.0700000000006</v>
      </c>
      <c r="C21" s="13">
        <f t="shared" si="6"/>
        <v>2970.33</v>
      </c>
      <c r="D21" s="13">
        <f t="shared" si="6"/>
        <v>9607.119999999999</v>
      </c>
      <c r="E21" s="13">
        <f t="shared" si="6"/>
        <v>7061.46</v>
      </c>
      <c r="F21" s="13">
        <f t="shared" si="6"/>
        <v>6404.02</v>
      </c>
      <c r="G21" s="13">
        <f t="shared" si="6"/>
        <v>0</v>
      </c>
      <c r="H21" s="13">
        <f t="shared" si="6"/>
        <v>0</v>
      </c>
      <c r="I21" s="13">
        <f t="shared" si="6"/>
        <v>0</v>
      </c>
      <c r="J21" s="13">
        <f t="shared" si="6"/>
        <v>0</v>
      </c>
      <c r="K21" s="13">
        <f t="shared" si="6"/>
        <v>0</v>
      </c>
      <c r="L21" s="13">
        <f t="shared" si="6"/>
        <v>0</v>
      </c>
      <c r="M21" s="13">
        <f t="shared" si="6"/>
        <v>0</v>
      </c>
      <c r="N21" s="13">
        <f t="shared" si="6"/>
        <v>32471</v>
      </c>
      <c r="O21" s="13">
        <f>SUM(O22:O30)</f>
        <v>0</v>
      </c>
      <c r="P21" s="13">
        <f t="shared" si="2"/>
        <v>32471</v>
      </c>
      <c r="Q21" s="13">
        <f t="shared" ref="Q21:V21" si="7">SUM(Q22:Q30)</f>
        <v>0</v>
      </c>
      <c r="R21" s="13">
        <f t="shared" si="7"/>
        <v>0</v>
      </c>
      <c r="S21" s="13">
        <f t="shared" si="7"/>
        <v>0</v>
      </c>
      <c r="T21" s="13">
        <f t="shared" si="7"/>
        <v>0</v>
      </c>
      <c r="U21" s="13">
        <f t="shared" si="7"/>
        <v>0</v>
      </c>
      <c r="V21" s="13">
        <f t="shared" si="7"/>
        <v>0</v>
      </c>
      <c r="W21" s="13">
        <f t="shared" si="4"/>
        <v>32471</v>
      </c>
      <c r="Y21" s="13">
        <f>SUM(Y22:Y31)</f>
        <v>34706</v>
      </c>
      <c r="Z21" s="13">
        <f>SUM(Z22:Z31)</f>
        <v>2235.0000000000005</v>
      </c>
      <c r="AB21" s="13">
        <f>SUM(AB22:AB31)</f>
        <v>31491.899999999998</v>
      </c>
      <c r="AC21" s="13">
        <f t="shared" si="5"/>
        <v>-979.10000000000218</v>
      </c>
      <c r="AD21" s="190">
        <f>IF(ISERROR((AB21/N21)-1),"-",(AB21/N21)-1)</f>
        <v>-3.015305965322912E-2</v>
      </c>
      <c r="AE21" s="13"/>
    </row>
    <row r="22" spans="1:31" s="19" customFormat="1">
      <c r="A22" s="20" t="s">
        <v>100</v>
      </c>
      <c r="B22" s="32">
        <f>'Expend - General'!C22+'Expend - Fabric'!C22+'Expend - FlowerFund'!C22+'Expend - SSchoolFund'!C22+'Expend - ReithMemorial'!C22+'Expend - SfSFund'!C22+'Expend - Guild'!C22+'Expend - Organ'!C22+'Expend - JrChurch'!C22+'Expend - Benevolent'!C22+'Expend - Friday'!C22</f>
        <v>0</v>
      </c>
      <c r="C22" s="32">
        <f>'Expend - General'!D22+'Expend - Fabric'!D22+'Expend - FlowerFund'!D22+'Expend - SSchoolFund'!D22+'Expend - ReithMemorial'!D22+'Expend - SfSFund'!D22+'Expend - Guild'!D22+'Expend - Organ'!D22+'Expend - JrChurch'!D22+'Expend - Benevolent'!D22+'Expend - Friday'!D22</f>
        <v>0</v>
      </c>
      <c r="D22" s="32">
        <f>'Expend - General'!E22+'Expend - Fabric'!E22+'Expend - FlowerFund'!E22+'Expend - SSchoolFund'!E22+'Expend - ReithMemorial'!E22+'Expend - SfSFund'!E22+'Expend - Guild'!E22+'Expend - Organ'!E22+'Expend - JrChurch'!E22+'Expend - Benevolent'!E22+'Expend - Friday'!E22</f>
        <v>0</v>
      </c>
      <c r="E22" s="32">
        <f>'Expend - General'!F22+'Expend - Fabric'!F22+'Expend - FlowerFund'!F22+'Expend - SSchoolFund'!F22+'Expend - ReithMemorial'!F22+'Expend - SfSFund'!F22+'Expend - Guild'!F22+'Expend - Organ'!F22+'Expend - JrChurch'!F22+'Expend - Benevolent'!F22+'Expend - Friday'!F22</f>
        <v>0</v>
      </c>
      <c r="F22" s="32">
        <f>'Expend - General'!G22+'Expend - Fabric'!G22+'Expend - FlowerFund'!G22+'Expend - SSchoolFund'!G22+'Expend - ReithMemorial'!G22+'Expend - SfSFund'!G22+'Expend - Guild'!G22+'Expend - Organ'!G22+'Expend - JrChurch'!G22+'Expend - Benevolent'!G22+'Expend - Friday'!G22</f>
        <v>0</v>
      </c>
      <c r="G22" s="32">
        <f>'Expend - General'!H22+'Expend - Fabric'!H22+'Expend - FlowerFund'!H22+'Expend - SSchoolFund'!H22+'Expend - ReithMemorial'!H22+'Expend - SfSFund'!H22+'Expend - Guild'!H22+'Expend - Organ'!H22+'Expend - JrChurch'!H22+'Expend - Benevolent'!H22+'Expend - Friday'!H22</f>
        <v>0</v>
      </c>
      <c r="H22" s="32">
        <f>'Expend - General'!I22+'Expend - Fabric'!I22+'Expend - FlowerFund'!I22+'Expend - SSchoolFund'!I22+'Expend - ReithMemorial'!I22+'Expend - SfSFund'!I22+'Expend - Guild'!I22+'Expend - Organ'!I22+'Expend - JrChurch'!I22+'Expend - Benevolent'!I22+'Expend - Friday'!I22</f>
        <v>0</v>
      </c>
      <c r="I22" s="32">
        <f>'Expend - General'!J22+'Expend - Fabric'!J22+'Expend - FlowerFund'!J22+'Expend - SSchoolFund'!J22+'Expend - ReithMemorial'!J22+'Expend - SfSFund'!J22+'Expend - Guild'!J22+'Expend - Organ'!J22+'Expend - JrChurch'!J22+'Expend - Benevolent'!J22+'Expend - Friday'!J22</f>
        <v>0</v>
      </c>
      <c r="J22" s="32">
        <f>'Expend - General'!K22+'Expend - Fabric'!K22+'Expend - FlowerFund'!K22+'Expend - SSchoolFund'!K22+'Expend - ReithMemorial'!K22+'Expend - SfSFund'!K22+'Expend - Guild'!K22+'Expend - Organ'!K22+'Expend - JrChurch'!K22+'Expend - Benevolent'!K22+'Expend - Friday'!K22</f>
        <v>0</v>
      </c>
      <c r="K22" s="32">
        <f>'Expend - General'!L22+'Expend - Fabric'!L22+'Expend - FlowerFund'!L22+'Expend - SSchoolFund'!L22+'Expend - ReithMemorial'!L22+'Expend - SfSFund'!L22+'Expend - Guild'!L22+'Expend - Organ'!L22+'Expend - JrChurch'!L22+'Expend - Benevolent'!L22+'Expend - Friday'!L22</f>
        <v>0</v>
      </c>
      <c r="L22" s="32">
        <f>'Expend - General'!M22+'Expend - Fabric'!M22+'Expend - FlowerFund'!M22+'Expend - SSchoolFund'!M22+'Expend - ReithMemorial'!M22+'Expend - SfSFund'!M22+'Expend - Guild'!M22+'Expend - Organ'!M22+'Expend - JrChurch'!M22+'Expend - Benevolent'!M22+'Expend - Friday'!M22</f>
        <v>0</v>
      </c>
      <c r="M22" s="32">
        <f>'Expend - General'!N22+'Expend - Fabric'!N22+'Expend - FlowerFund'!N22+'Expend - SSchoolFund'!N22+'Expend - ReithMemorial'!N22+'Expend - SfSFund'!N22+'Expend - Guild'!N22+'Expend - Organ'!N22+'Expend - JrChurch'!N22+'Expend - Benevolent'!N22+'Expend - Friday'!N22</f>
        <v>0</v>
      </c>
      <c r="N22" s="33">
        <f>SUM(B22:M22)</f>
        <v>0</v>
      </c>
      <c r="O22" s="36"/>
      <c r="P22" s="13">
        <f t="shared" si="2"/>
        <v>0</v>
      </c>
      <c r="Q22" s="36"/>
      <c r="R22" s="36"/>
      <c r="S22" s="36"/>
      <c r="T22" s="36"/>
      <c r="U22" s="36"/>
      <c r="V22" s="36"/>
      <c r="W22" s="36">
        <f t="shared" si="4"/>
        <v>0</v>
      </c>
      <c r="Y22" s="127">
        <f>SUMIF('Expend - OverallBUD'!$C$4:$N$4,'Expend - Overall'!$Y$2,'Expend - OverallBUD'!$C22:$N22)</f>
        <v>0</v>
      </c>
      <c r="Z22" s="33">
        <f t="shared" ref="Z22:Z28" si="8">Y22-N22</f>
        <v>0</v>
      </c>
      <c r="AB22" s="127">
        <f>SUMIF('Expend - OverallPY'!$B$4:$M$4,'Expend - Overall'!$AB$2,'Expend - OverallPY'!$B22:$M22)</f>
        <v>0</v>
      </c>
      <c r="AC22" s="32">
        <f t="shared" si="5"/>
        <v>0</v>
      </c>
      <c r="AD22" s="192" t="str">
        <f>IF(ISERROR((AB22/N22)-1),"-",(AB22/N22)-1)</f>
        <v>-</v>
      </c>
      <c r="AE22" s="36"/>
    </row>
    <row r="23" spans="1:31" s="19" customFormat="1">
      <c r="A23" s="24" t="s">
        <v>101</v>
      </c>
      <c r="B23" s="36">
        <f>'Expend - General'!C23+'Expend - Fabric'!C23+'Expend - FlowerFund'!C23+'Expend - SSchoolFund'!C23+'Expend - ReithMemorial'!C23+'Expend - SfSFund'!C23+'Expend - Guild'!C23+'Expend - Organ'!C23+'Expend - JrChurch'!C23+'Expend - Benevolent'!C23+'Expend - Friday'!C23</f>
        <v>524</v>
      </c>
      <c r="C23" s="36">
        <f>'Expend - General'!D23+'Expend - Fabric'!D23+'Expend - FlowerFund'!D23+'Expend - SSchoolFund'!D23+'Expend - ReithMemorial'!D23+'Expend - SfSFund'!D23+'Expend - Guild'!D23+'Expend - Organ'!D23+'Expend - JrChurch'!D23+'Expend - Benevolent'!D23+'Expend - Friday'!D23</f>
        <v>0</v>
      </c>
      <c r="D23" s="36">
        <f>'Expend - General'!E23+'Expend - Fabric'!E23+'Expend - FlowerFund'!E23+'Expend - SSchoolFund'!E23+'Expend - ReithMemorial'!E23+'Expend - SfSFund'!E23+'Expend - Guild'!E23+'Expend - Organ'!E23+'Expend - JrChurch'!E23+'Expend - Benevolent'!E23+'Expend - Friday'!E23</f>
        <v>1048.4000000000001</v>
      </c>
      <c r="E23" s="36">
        <f>'Expend - General'!F23+'Expend - Fabric'!F23+'Expend - FlowerFund'!F23+'Expend - SSchoolFund'!F23+'Expend - ReithMemorial'!F23+'Expend - SfSFund'!F23+'Expend - Guild'!F23+'Expend - Organ'!F23+'Expend - JrChurch'!F23+'Expend - Benevolent'!F23+'Expend - Friday'!F23</f>
        <v>599.6</v>
      </c>
      <c r="F23" s="36">
        <f>'Expend - General'!G23+'Expend - Fabric'!G23+'Expend - FlowerFund'!G23+'Expend - SSchoolFund'!G23+'Expend - ReithMemorial'!G23+'Expend - SfSFund'!G23+'Expend - Guild'!G23+'Expend - Organ'!G23+'Expend - JrChurch'!G23+'Expend - Benevolent'!G23+'Expend - Friday'!G23</f>
        <v>559.6</v>
      </c>
      <c r="G23" s="36">
        <f>'Expend - General'!H23+'Expend - Fabric'!H23+'Expend - FlowerFund'!H23+'Expend - SSchoolFund'!H23+'Expend - ReithMemorial'!H23+'Expend - SfSFund'!H23+'Expend - Guild'!H23+'Expend - Organ'!H23+'Expend - JrChurch'!H23+'Expend - Benevolent'!H23+'Expend - Friday'!H23</f>
        <v>0</v>
      </c>
      <c r="H23" s="36">
        <f>'Expend - General'!I23+'Expend - Fabric'!I23+'Expend - FlowerFund'!I23+'Expend - SSchoolFund'!I23+'Expend - ReithMemorial'!I23+'Expend - SfSFund'!I23+'Expend - Guild'!I23+'Expend - Organ'!I23+'Expend - JrChurch'!I23+'Expend - Benevolent'!I23+'Expend - Friday'!I23</f>
        <v>0</v>
      </c>
      <c r="I23" s="36">
        <f>'Expend - General'!J23+'Expend - Fabric'!J23+'Expend - FlowerFund'!J23+'Expend - SSchoolFund'!J23+'Expend - ReithMemorial'!J23+'Expend - SfSFund'!J23+'Expend - Guild'!J23+'Expend - Organ'!J23+'Expend - JrChurch'!J23+'Expend - Benevolent'!J23+'Expend - Friday'!J23</f>
        <v>0</v>
      </c>
      <c r="J23" s="36">
        <f>'Expend - General'!K23+'Expend - Fabric'!K23+'Expend - FlowerFund'!K23+'Expend - SSchoolFund'!K23+'Expend - ReithMemorial'!K23+'Expend - SfSFund'!K23+'Expend - Guild'!K23+'Expend - Organ'!K23+'Expend - JrChurch'!K23+'Expend - Benevolent'!K23+'Expend - Friday'!K23</f>
        <v>0</v>
      </c>
      <c r="K23" s="36">
        <f>'Expend - General'!L23+'Expend - Fabric'!L23+'Expend - FlowerFund'!L23+'Expend - SSchoolFund'!L23+'Expend - ReithMemorial'!L23+'Expend - SfSFund'!L23+'Expend - Guild'!L23+'Expend - Organ'!L23+'Expend - JrChurch'!L23+'Expend - Benevolent'!L23+'Expend - Friday'!L23</f>
        <v>0</v>
      </c>
      <c r="L23" s="36">
        <f>'Expend - General'!M23+'Expend - Fabric'!M23+'Expend - FlowerFund'!M23+'Expend - SSchoolFund'!M23+'Expend - ReithMemorial'!M23+'Expend - SfSFund'!M23+'Expend - Guild'!M23+'Expend - Organ'!M23+'Expend - JrChurch'!M23+'Expend - Benevolent'!M23+'Expend - Friday'!M23</f>
        <v>0</v>
      </c>
      <c r="M23" s="36">
        <f>'Expend - General'!N23+'Expend - Fabric'!N23+'Expend - FlowerFund'!N23+'Expend - SSchoolFund'!N23+'Expend - ReithMemorial'!N23+'Expend - SfSFund'!N23+'Expend - Guild'!N23+'Expend - Organ'!N23+'Expend - JrChurch'!N23+'Expend - Benevolent'!N23+'Expend - Friday'!N23</f>
        <v>0</v>
      </c>
      <c r="N23" s="37">
        <f t="shared" ref="N23:N35" si="9">SUM(B23:M23)</f>
        <v>2731.6</v>
      </c>
      <c r="O23" s="36"/>
      <c r="P23" s="13">
        <f t="shared" si="2"/>
        <v>2731.6</v>
      </c>
      <c r="Q23" s="36"/>
      <c r="R23" s="36"/>
      <c r="S23" s="36"/>
      <c r="T23" s="36"/>
      <c r="U23" s="36"/>
      <c r="V23" s="36"/>
      <c r="W23" s="36">
        <f t="shared" si="4"/>
        <v>2731.6</v>
      </c>
      <c r="Y23" s="131">
        <f>SUMIF('Expend - OverallBUD'!$C$4:$N$4,'Expend - Overall'!$Y$2,'Expend - OverallBUD'!$C23:$N23)</f>
        <v>2805</v>
      </c>
      <c r="Z23" s="37">
        <f t="shared" si="8"/>
        <v>73.400000000000091</v>
      </c>
      <c r="AB23" s="131">
        <f>SUMIF('Expend - OverallPY'!$B$4:$M$4,'Expend - Overall'!$AB$2,'Expend - OverallPY'!$B23:$M23)</f>
        <v>2524.04</v>
      </c>
      <c r="AC23" s="36">
        <f t="shared" si="5"/>
        <v>-207.55999999999995</v>
      </c>
      <c r="AD23" s="194">
        <f t="shared" ref="AD23:AD28" si="10">IF(ISERROR((AB23/N23)-1),"-",(AB23/N23)-1)</f>
        <v>-7.5984770830282655E-2</v>
      </c>
      <c r="AE23" s="36"/>
    </row>
    <row r="24" spans="1:31" s="19" customFormat="1">
      <c r="A24" s="24" t="s">
        <v>102</v>
      </c>
      <c r="B24" s="36">
        <f>'Expend - General'!C24+'Expend - Fabric'!C24+'Expend - FlowerFund'!C24+'Expend - SSchoolFund'!C24+'Expend - ReithMemorial'!C24+'Expend - SfSFund'!C24+'Expend - Guild'!C24+'Expend - Organ'!C24+'Expend - JrChurch'!C24+'Expend - Benevolent'!C24+'Expend - Friday'!C24</f>
        <v>351.47</v>
      </c>
      <c r="C24" s="36">
        <f>'Expend - General'!D24+'Expend - Fabric'!D24+'Expend - FlowerFund'!D24+'Expend - SSchoolFund'!D24+'Expend - ReithMemorial'!D24+'Expend - SfSFund'!D24+'Expend - Guild'!D24+'Expend - Organ'!D24+'Expend - JrChurch'!D24+'Expend - Benevolent'!D24+'Expend - Friday'!D24</f>
        <v>351.47</v>
      </c>
      <c r="D24" s="36">
        <f>'Expend - General'!E24+'Expend - Fabric'!E24+'Expend - FlowerFund'!E24+'Expend - SSchoolFund'!E24+'Expend - ReithMemorial'!E24+'Expend - SfSFund'!E24+'Expend - Guild'!E24+'Expend - Organ'!E24+'Expend - JrChurch'!E24+'Expend - Benevolent'!E24+'Expend - Friday'!E24</f>
        <v>395.15</v>
      </c>
      <c r="E24" s="36">
        <f>'Expend - General'!F24+'Expend - Fabric'!F24+'Expend - FlowerFund'!F24+'Expend - SSchoolFund'!F24+'Expend - ReithMemorial'!F24+'Expend - SfSFund'!F24+'Expend - Guild'!F24+'Expend - Organ'!F24+'Expend - JrChurch'!F24+'Expend - Benevolent'!F24+'Expend - Friday'!F24</f>
        <v>323.25</v>
      </c>
      <c r="F24" s="36">
        <f>'Expend - General'!G24+'Expend - Fabric'!G24+'Expend - FlowerFund'!G24+'Expend - SSchoolFund'!G24+'Expend - ReithMemorial'!G24+'Expend - SfSFund'!G24+'Expend - Guild'!G24+'Expend - Organ'!G24+'Expend - JrChurch'!G24+'Expend - Benevolent'!G24+'Expend - Friday'!G24</f>
        <v>295.39</v>
      </c>
      <c r="G24" s="36">
        <f>'Expend - General'!H24+'Expend - Fabric'!H24+'Expend - FlowerFund'!H24+'Expend - SSchoolFund'!H24+'Expend - ReithMemorial'!H24+'Expend - SfSFund'!H24+'Expend - Guild'!H24+'Expend - Organ'!H24+'Expend - JrChurch'!H24+'Expend - Benevolent'!H24+'Expend - Friday'!H24</f>
        <v>0</v>
      </c>
      <c r="H24" s="36">
        <f>'Expend - General'!I24+'Expend - Fabric'!I24+'Expend - FlowerFund'!I24+'Expend - SSchoolFund'!I24+'Expend - ReithMemorial'!I24+'Expend - SfSFund'!I24+'Expend - Guild'!I24+'Expend - Organ'!I24+'Expend - JrChurch'!I24+'Expend - Benevolent'!I24+'Expend - Friday'!I24</f>
        <v>0</v>
      </c>
      <c r="I24" s="36">
        <f>'Expend - General'!J24+'Expend - Fabric'!J24+'Expend - FlowerFund'!J24+'Expend - SSchoolFund'!J24+'Expend - ReithMemorial'!J24+'Expend - SfSFund'!J24+'Expend - Guild'!J24+'Expend - Organ'!J24+'Expend - JrChurch'!J24+'Expend - Benevolent'!J24+'Expend - Friday'!J24</f>
        <v>0</v>
      </c>
      <c r="J24" s="36">
        <f>'Expend - General'!K24+'Expend - Fabric'!K24+'Expend - FlowerFund'!K24+'Expend - SSchoolFund'!K24+'Expend - ReithMemorial'!K24+'Expend - SfSFund'!K24+'Expend - Guild'!K24+'Expend - Organ'!K24+'Expend - JrChurch'!K24+'Expend - Benevolent'!K24+'Expend - Friday'!K24</f>
        <v>0</v>
      </c>
      <c r="K24" s="36">
        <f>'Expend - General'!L24+'Expend - Fabric'!L24+'Expend - FlowerFund'!L24+'Expend - SSchoolFund'!L24+'Expend - ReithMemorial'!L24+'Expend - SfSFund'!L24+'Expend - Guild'!L24+'Expend - Organ'!L24+'Expend - JrChurch'!L24+'Expend - Benevolent'!L24+'Expend - Friday'!L24</f>
        <v>0</v>
      </c>
      <c r="L24" s="36">
        <f>'Expend - General'!M24+'Expend - Fabric'!M24+'Expend - FlowerFund'!M24+'Expend - SSchoolFund'!M24+'Expend - ReithMemorial'!M24+'Expend - SfSFund'!M24+'Expend - Guild'!M24+'Expend - Organ'!M24+'Expend - JrChurch'!M24+'Expend - Benevolent'!M24+'Expend - Friday'!M24</f>
        <v>0</v>
      </c>
      <c r="M24" s="36">
        <f>'Expend - General'!N24+'Expend - Fabric'!N24+'Expend - FlowerFund'!N24+'Expend - SSchoolFund'!N24+'Expend - ReithMemorial'!N24+'Expend - SfSFund'!N24+'Expend - Guild'!N24+'Expend - Organ'!N24+'Expend - JrChurch'!N24+'Expend - Benevolent'!N24+'Expend - Friday'!N24</f>
        <v>0</v>
      </c>
      <c r="N24" s="37">
        <f>SUM(B24:M24)</f>
        <v>1716.73</v>
      </c>
      <c r="O24" s="36"/>
      <c r="P24" s="13">
        <f t="shared" si="2"/>
        <v>1716.73</v>
      </c>
      <c r="Q24" s="36"/>
      <c r="R24" s="36"/>
      <c r="S24" s="36"/>
      <c r="T24" s="36"/>
      <c r="U24" s="36"/>
      <c r="V24" s="36"/>
      <c r="W24" s="36">
        <f t="shared" si="4"/>
        <v>1716.73</v>
      </c>
      <c r="Y24" s="131">
        <f>SUMIF('Expend - OverallBUD'!$C$4:$N$4,'Expend - Overall'!$Y$2,'Expend - OverallBUD'!$C24:$N24)</f>
        <v>1930</v>
      </c>
      <c r="Z24" s="37">
        <f t="shared" si="8"/>
        <v>213.26999999999998</v>
      </c>
      <c r="AB24" s="131">
        <f>SUMIF('Expend - OverallPY'!$B$4:$M$4,'Expend - Overall'!$AB$2,'Expend - OverallPY'!$B24:$M24)</f>
        <v>1798.71</v>
      </c>
      <c r="AC24" s="36">
        <f>AB24-N24</f>
        <v>81.980000000000018</v>
      </c>
      <c r="AD24" s="194">
        <f>IF(ISERROR((AB24/N24)-1),"-",(AB24/N24)-1)</f>
        <v>4.775357802333513E-2</v>
      </c>
      <c r="AE24" s="36"/>
    </row>
    <row r="25" spans="1:31" s="19" customFormat="1">
      <c r="A25" s="24" t="s">
        <v>103</v>
      </c>
      <c r="B25" s="36">
        <f>'Expend - General'!C25+'Expend - Fabric'!C25+'Expend - FlowerFund'!C25+'Expend - SSchoolFund'!C25+'Expend - ReithMemorial'!C25+'Expend - SfSFund'!C25+'Expend - Guild'!C25+'Expend - Organ'!C25+'Expend - JrChurch'!C25+'Expend - Benevolent'!C25+'Expend - Friday'!C25</f>
        <v>0</v>
      </c>
      <c r="C25" s="36">
        <f>'Expend - General'!D25+'Expend - Fabric'!D25+'Expend - FlowerFund'!D25+'Expend - SSchoolFund'!D25+'Expend - ReithMemorial'!D25+'Expend - SfSFund'!D25+'Expend - Guild'!D25+'Expend - Organ'!D25+'Expend - JrChurch'!D25+'Expend - Benevolent'!D25+'Expend - Friday'!D25</f>
        <v>0</v>
      </c>
      <c r="D25" s="36">
        <f>'Expend - General'!E25+'Expend - Fabric'!E25+'Expend - FlowerFund'!E25+'Expend - SSchoolFund'!E25+'Expend - ReithMemorial'!E25+'Expend - SfSFund'!E25+'Expend - Guild'!E25+'Expend - Organ'!E25+'Expend - JrChurch'!E25+'Expend - Benevolent'!E25+'Expend - Friday'!E25</f>
        <v>0</v>
      </c>
      <c r="E25" s="36">
        <f>'Expend - General'!F25+'Expend - Fabric'!F25+'Expend - FlowerFund'!F25+'Expend - SSchoolFund'!F25+'Expend - ReithMemorial'!F25+'Expend - SfSFund'!F25+'Expend - Guild'!F25+'Expend - Organ'!F25+'Expend - JrChurch'!F25+'Expend - Benevolent'!F25+'Expend - Friday'!F25</f>
        <v>0</v>
      </c>
      <c r="F25" s="36">
        <f>'Expend - General'!G25+'Expend - Fabric'!G25+'Expend - FlowerFund'!G25+'Expend - SSchoolFund'!G25+'Expend - ReithMemorial'!G25+'Expend - SfSFund'!G25+'Expend - Guild'!G25+'Expend - Organ'!G25+'Expend - JrChurch'!G25+'Expend - Benevolent'!G25+'Expend - Friday'!G25</f>
        <v>0</v>
      </c>
      <c r="G25" s="36">
        <f>'Expend - General'!H25+'Expend - Fabric'!H25+'Expend - FlowerFund'!H25+'Expend - SSchoolFund'!H25+'Expend - ReithMemorial'!H25+'Expend - SfSFund'!H25+'Expend - Guild'!H25+'Expend - Organ'!H25+'Expend - JrChurch'!H25+'Expend - Benevolent'!H25+'Expend - Friday'!H25</f>
        <v>0</v>
      </c>
      <c r="H25" s="36">
        <f>'Expend - General'!I25+'Expend - Fabric'!I25+'Expend - FlowerFund'!I25+'Expend - SSchoolFund'!I25+'Expend - ReithMemorial'!I25+'Expend - SfSFund'!I25+'Expend - Guild'!I25+'Expend - Organ'!I25+'Expend - JrChurch'!I25+'Expend - Benevolent'!I25+'Expend - Friday'!I25</f>
        <v>0</v>
      </c>
      <c r="I25" s="36">
        <f>'Expend - General'!J25+'Expend - Fabric'!J25+'Expend - FlowerFund'!J25+'Expend - SSchoolFund'!J25+'Expend - ReithMemorial'!J25+'Expend - SfSFund'!J25+'Expend - Guild'!J25+'Expend - Organ'!J25+'Expend - JrChurch'!J25+'Expend - Benevolent'!J25+'Expend - Friday'!J25</f>
        <v>0</v>
      </c>
      <c r="J25" s="36">
        <f>'Expend - General'!K25+'Expend - Fabric'!K25+'Expend - FlowerFund'!K25+'Expend - SSchoolFund'!K25+'Expend - ReithMemorial'!K25+'Expend - SfSFund'!K25+'Expend - Guild'!K25+'Expend - Organ'!K25+'Expend - JrChurch'!K25+'Expend - Benevolent'!K25+'Expend - Friday'!K25</f>
        <v>0</v>
      </c>
      <c r="K25" s="36">
        <f>'Expend - General'!L25+'Expend - Fabric'!L25+'Expend - FlowerFund'!L25+'Expend - SSchoolFund'!L25+'Expend - ReithMemorial'!L25+'Expend - SfSFund'!L25+'Expend - Guild'!L25+'Expend - Organ'!L25+'Expend - JrChurch'!L25+'Expend - Benevolent'!L25+'Expend - Friday'!L25</f>
        <v>0</v>
      </c>
      <c r="L25" s="36">
        <f>'Expend - General'!M25+'Expend - Fabric'!M25+'Expend - FlowerFund'!M25+'Expend - SSchoolFund'!M25+'Expend - ReithMemorial'!M25+'Expend - SfSFund'!M25+'Expend - Guild'!M25+'Expend - Organ'!M25+'Expend - JrChurch'!M25+'Expend - Benevolent'!M25+'Expend - Friday'!M25</f>
        <v>0</v>
      </c>
      <c r="M25" s="36">
        <f>'Expend - General'!N25+'Expend - Fabric'!N25+'Expend - FlowerFund'!N25+'Expend - SSchoolFund'!N25+'Expend - ReithMemorial'!N25+'Expend - SfSFund'!N25+'Expend - Guild'!N25+'Expend - Organ'!N25+'Expend - JrChurch'!N25+'Expend - Benevolent'!N25+'Expend - Friday'!N25</f>
        <v>0</v>
      </c>
      <c r="N25" s="37">
        <f t="shared" si="9"/>
        <v>0</v>
      </c>
      <c r="O25" s="36"/>
      <c r="P25" s="13">
        <f t="shared" si="2"/>
        <v>0</v>
      </c>
      <c r="Q25" s="36"/>
      <c r="R25" s="36"/>
      <c r="S25" s="36"/>
      <c r="T25" s="36"/>
      <c r="U25" s="36"/>
      <c r="V25" s="36"/>
      <c r="W25" s="36">
        <f t="shared" si="4"/>
        <v>0</v>
      </c>
      <c r="Y25" s="131">
        <f>SUMIF('Expend - OverallBUD'!$C$4:$N$4,'Expend - Overall'!$Y$2,'Expend - OverallBUD'!$C25:$N25)</f>
        <v>0</v>
      </c>
      <c r="Z25" s="37">
        <f t="shared" si="8"/>
        <v>0</v>
      </c>
      <c r="AB25" s="131">
        <f>SUMIF('Expend - OverallPY'!$B$4:$M$4,'Expend - Overall'!$AB$2,'Expend - OverallPY'!$B25:$M25)</f>
        <v>0</v>
      </c>
      <c r="AC25" s="36">
        <f t="shared" si="5"/>
        <v>0</v>
      </c>
      <c r="AD25" s="194" t="str">
        <f t="shared" si="10"/>
        <v>-</v>
      </c>
      <c r="AE25" s="36"/>
    </row>
    <row r="26" spans="1:31" s="19" customFormat="1">
      <c r="A26" s="24" t="s">
        <v>104</v>
      </c>
      <c r="B26" s="36">
        <f>'Expend - General'!C26+'Expend - Fabric'!C26+'Expend - FlowerFund'!C26+'Expend - SSchoolFund'!C26+'Expend - ReithMemorial'!C26+'Expend - SfSFund'!C26+'Expend - Guild'!C26+'Expend - Organ'!C26+'Expend - JrChurch'!C26+'Expend - Benevolent'!C26+'Expend - Friday'!C26</f>
        <v>1379.58</v>
      </c>
      <c r="C26" s="36">
        <f>'Expend - General'!D26+'Expend - Fabric'!D26+'Expend - FlowerFund'!D26+'Expend - SSchoolFund'!D26+'Expend - ReithMemorial'!D26+'Expend - SfSFund'!D26+'Expend - Guild'!D26+'Expend - Organ'!D26+'Expend - JrChurch'!D26+'Expend - Benevolent'!D26+'Expend - Friday'!D26</f>
        <v>1379.59</v>
      </c>
      <c r="D26" s="36">
        <f>'Expend - General'!E26+'Expend - Fabric'!E26+'Expend - FlowerFund'!E26+'Expend - SSchoolFund'!E26+'Expend - ReithMemorial'!E26+'Expend - SfSFund'!E26+'Expend - Guild'!E26+'Expend - Organ'!E26+'Expend - JrChurch'!E26+'Expend - Benevolent'!E26+'Expend - Friday'!E26</f>
        <v>1460.98</v>
      </c>
      <c r="E26" s="36">
        <f>'Expend - General'!F26+'Expend - Fabric'!F26+'Expend - FlowerFund'!F26+'Expend - SSchoolFund'!F26+'Expend - ReithMemorial'!F26+'Expend - SfSFund'!F26+'Expend - Guild'!F26+'Expend - Organ'!F26+'Expend - JrChurch'!F26+'Expend - Benevolent'!F26+'Expend - Friday'!F26</f>
        <v>1407.81</v>
      </c>
      <c r="F26" s="36">
        <f>'Expend - General'!G26+'Expend - Fabric'!G26+'Expend - FlowerFund'!G26+'Expend - SSchoolFund'!G26+'Expend - ReithMemorial'!G26+'Expend - SfSFund'!G26+'Expend - Guild'!G26+'Expend - Organ'!G26+'Expend - JrChurch'!G26+'Expend - Benevolent'!G26+'Expend - Friday'!G26</f>
        <v>1407.61</v>
      </c>
      <c r="G26" s="36">
        <f>'Expend - General'!H26+'Expend - Fabric'!H26+'Expend - FlowerFund'!H26+'Expend - SSchoolFund'!H26+'Expend - ReithMemorial'!H26+'Expend - SfSFund'!H26+'Expend - Guild'!H26+'Expend - Organ'!H26+'Expend - JrChurch'!H26+'Expend - Benevolent'!H26+'Expend - Friday'!H26</f>
        <v>0</v>
      </c>
      <c r="H26" s="36">
        <f>'Expend - General'!I26+'Expend - Fabric'!I26+'Expend - FlowerFund'!I26+'Expend - SSchoolFund'!I26+'Expend - ReithMemorial'!I26+'Expend - SfSFund'!I26+'Expend - Guild'!I26+'Expend - Organ'!I26+'Expend - JrChurch'!I26+'Expend - Benevolent'!I26+'Expend - Friday'!I26</f>
        <v>0</v>
      </c>
      <c r="I26" s="36">
        <f>'Expend - General'!J26+'Expend - Fabric'!J26+'Expend - FlowerFund'!J26+'Expend - SSchoolFund'!J26+'Expend - ReithMemorial'!J26+'Expend - SfSFund'!J26+'Expend - Guild'!J26+'Expend - Organ'!J26+'Expend - JrChurch'!J26+'Expend - Benevolent'!J26+'Expend - Friday'!J26</f>
        <v>0</v>
      </c>
      <c r="J26" s="36">
        <f>'Expend - General'!K26+'Expend - Fabric'!K26+'Expend - FlowerFund'!K26+'Expend - SSchoolFund'!K26+'Expend - ReithMemorial'!K26+'Expend - SfSFund'!K26+'Expend - Guild'!K26+'Expend - Organ'!K26+'Expend - JrChurch'!K26+'Expend - Benevolent'!K26+'Expend - Friday'!K26</f>
        <v>0</v>
      </c>
      <c r="K26" s="36">
        <f>'Expend - General'!L26+'Expend - Fabric'!L26+'Expend - FlowerFund'!L26+'Expend - SSchoolFund'!L26+'Expend - ReithMemorial'!L26+'Expend - SfSFund'!L26+'Expend - Guild'!L26+'Expend - Organ'!L26+'Expend - JrChurch'!L26+'Expend - Benevolent'!L26+'Expend - Friday'!L26</f>
        <v>0</v>
      </c>
      <c r="L26" s="36">
        <f>'Expend - General'!M26+'Expend - Fabric'!M26+'Expend - FlowerFund'!M26+'Expend - SSchoolFund'!M26+'Expend - ReithMemorial'!M26+'Expend - SfSFund'!M26+'Expend - Guild'!M26+'Expend - Organ'!M26+'Expend - JrChurch'!M26+'Expend - Benevolent'!M26+'Expend - Friday'!M26</f>
        <v>0</v>
      </c>
      <c r="M26" s="36">
        <f>'Expend - General'!N26+'Expend - Fabric'!N26+'Expend - FlowerFund'!N26+'Expend - SSchoolFund'!N26+'Expend - ReithMemorial'!N26+'Expend - SfSFund'!N26+'Expend - Guild'!N26+'Expend - Organ'!N26+'Expend - JrChurch'!N26+'Expend - Benevolent'!N26+'Expend - Friday'!N26</f>
        <v>0</v>
      </c>
      <c r="N26" s="37">
        <f t="shared" si="9"/>
        <v>7035.5699999999988</v>
      </c>
      <c r="O26" s="36"/>
      <c r="P26" s="13">
        <f t="shared" si="2"/>
        <v>7035.5699999999988</v>
      </c>
      <c r="Q26" s="36"/>
      <c r="R26" s="36"/>
      <c r="S26" s="36"/>
      <c r="T26" s="36"/>
      <c r="U26" s="36"/>
      <c r="V26" s="36"/>
      <c r="W26" s="36">
        <f t="shared" si="4"/>
        <v>7035.5699999999988</v>
      </c>
      <c r="Y26" s="131">
        <f>SUMIF('Expend - OverallBUD'!$C$4:$N$4,'Expend - Overall'!$Y$2,'Expend - OverallBUD'!$C26:$N26)</f>
        <v>7075</v>
      </c>
      <c r="Z26" s="37">
        <f t="shared" si="8"/>
        <v>39.430000000001201</v>
      </c>
      <c r="AB26" s="131">
        <f>SUMIF('Expend - OverallPY'!$B$4:$M$4,'Expend - Overall'!$AB$2,'Expend - OverallPY'!$B26:$M26)</f>
        <v>6897.23</v>
      </c>
      <c r="AC26" s="36">
        <f t="shared" si="5"/>
        <v>-138.33999999999924</v>
      </c>
      <c r="AD26" s="194">
        <f t="shared" si="10"/>
        <v>-1.9662941311080595E-2</v>
      </c>
      <c r="AE26" s="36"/>
    </row>
    <row r="27" spans="1:31" s="19" customFormat="1">
      <c r="A27" s="24" t="s">
        <v>105</v>
      </c>
      <c r="B27" s="36">
        <f>'Expend - General'!C27+'Expend - Fabric'!C27+'Expend - FlowerFund'!C27+'Expend - SSchoolFund'!C27+'Expend - ReithMemorial'!C27+'Expend - SfSFund'!C27+'Expend - Guild'!C27+'Expend - Organ'!C27+'Expend - JrChurch'!C27+'Expend - Benevolent'!C27+'Expend - Friday'!C27</f>
        <v>1988.63</v>
      </c>
      <c r="C27" s="36">
        <f>'Expend - General'!D27+'Expend - Fabric'!D27+'Expend - FlowerFund'!D27+'Expend - SSchoolFund'!D27+'Expend - ReithMemorial'!D27+'Expend - SfSFund'!D27+'Expend - Guild'!D27+'Expend - Organ'!D27+'Expend - JrChurch'!D27+'Expend - Benevolent'!D27+'Expend - Friday'!D27</f>
        <v>0</v>
      </c>
      <c r="D27" s="36">
        <f>'Expend - General'!E27+'Expend - Fabric'!E27+'Expend - FlowerFund'!E27+'Expend - SSchoolFund'!E27+'Expend - ReithMemorial'!E27+'Expend - SfSFund'!E27+'Expend - Guild'!E27+'Expend - Organ'!E27+'Expend - JrChurch'!E27+'Expend - Benevolent'!E27+'Expend - Friday'!E27</f>
        <v>4270.16</v>
      </c>
      <c r="E27" s="36">
        <f>'Expend - General'!F27+'Expend - Fabric'!F27+'Expend - FlowerFund'!F27+'Expend - SSchoolFund'!F27+'Expend - ReithMemorial'!F27+'Expend - SfSFund'!F27+'Expend - Guild'!F27+'Expend - Organ'!F27+'Expend - JrChurch'!F27+'Expend - Benevolent'!F27+'Expend - Friday'!F27</f>
        <v>2089.0500000000002</v>
      </c>
      <c r="F27" s="36">
        <f>'Expend - General'!G27+'Expend - Fabric'!G27+'Expend - FlowerFund'!G27+'Expend - SSchoolFund'!G27+'Expend - ReithMemorial'!G27+'Expend - SfSFund'!G27+'Expend - Guild'!G27+'Expend - Organ'!G27+'Expend - JrChurch'!G27+'Expend - Benevolent'!G27+'Expend - Friday'!G27</f>
        <v>2088.84</v>
      </c>
      <c r="G27" s="36">
        <f>'Expend - General'!H27+'Expend - Fabric'!H27+'Expend - FlowerFund'!H27+'Expend - SSchoolFund'!H27+'Expend - ReithMemorial'!H27+'Expend - SfSFund'!H27+'Expend - Guild'!H27+'Expend - Organ'!H27+'Expend - JrChurch'!H27+'Expend - Benevolent'!H27+'Expend - Friday'!H27</f>
        <v>0</v>
      </c>
      <c r="H27" s="36">
        <f>'Expend - General'!I27+'Expend - Fabric'!I27+'Expend - FlowerFund'!I27+'Expend - SSchoolFund'!I27+'Expend - ReithMemorial'!I27+'Expend - SfSFund'!I27+'Expend - Guild'!I27+'Expend - Organ'!I27+'Expend - JrChurch'!I27+'Expend - Benevolent'!I27+'Expend - Friday'!I27</f>
        <v>0</v>
      </c>
      <c r="I27" s="36">
        <f>'Expend - General'!J27+'Expend - Fabric'!J27+'Expend - FlowerFund'!J27+'Expend - SSchoolFund'!J27+'Expend - ReithMemorial'!J27+'Expend - SfSFund'!J27+'Expend - Guild'!J27+'Expend - Organ'!J27+'Expend - JrChurch'!J27+'Expend - Benevolent'!J27+'Expend - Friday'!J27</f>
        <v>0</v>
      </c>
      <c r="J27" s="36">
        <f>'Expend - General'!K27+'Expend - Fabric'!K27+'Expend - FlowerFund'!K27+'Expend - SSchoolFund'!K27+'Expend - ReithMemorial'!K27+'Expend - SfSFund'!K27+'Expend - Guild'!K27+'Expend - Organ'!K27+'Expend - JrChurch'!K27+'Expend - Benevolent'!K27+'Expend - Friday'!K27</f>
        <v>0</v>
      </c>
      <c r="K27" s="36">
        <f>'Expend - General'!L27+'Expend - Fabric'!L27+'Expend - FlowerFund'!L27+'Expend - SSchoolFund'!L27+'Expend - ReithMemorial'!L27+'Expend - SfSFund'!L27+'Expend - Guild'!L27+'Expend - Organ'!L27+'Expend - JrChurch'!L27+'Expend - Benevolent'!L27+'Expend - Friday'!L27</f>
        <v>0</v>
      </c>
      <c r="L27" s="36">
        <f>'Expend - General'!M27+'Expend - Fabric'!M27+'Expend - FlowerFund'!M27+'Expend - SSchoolFund'!M27+'Expend - ReithMemorial'!M27+'Expend - SfSFund'!M27+'Expend - Guild'!M27+'Expend - Organ'!M27+'Expend - JrChurch'!M27+'Expend - Benevolent'!M27+'Expend - Friday'!M27</f>
        <v>0</v>
      </c>
      <c r="M27" s="36">
        <f>'Expend - General'!N27+'Expend - Fabric'!N27+'Expend - FlowerFund'!N27+'Expend - SSchoolFund'!N27+'Expend - ReithMemorial'!N27+'Expend - SfSFund'!N27+'Expend - Guild'!N27+'Expend - Organ'!N27+'Expend - JrChurch'!N27+'Expend - Benevolent'!N27+'Expend - Friday'!N27</f>
        <v>0</v>
      </c>
      <c r="N27" s="37">
        <f t="shared" si="9"/>
        <v>10436.68</v>
      </c>
      <c r="O27" s="36"/>
      <c r="P27" s="13">
        <f t="shared" si="2"/>
        <v>10436.68</v>
      </c>
      <c r="Q27" s="36"/>
      <c r="R27" s="36"/>
      <c r="S27" s="36"/>
      <c r="T27" s="36"/>
      <c r="U27" s="36"/>
      <c r="V27" s="36"/>
      <c r="W27" s="36">
        <f t="shared" si="4"/>
        <v>10436.68</v>
      </c>
      <c r="Y27" s="131">
        <f>SUMIF('Expend - OverallBUD'!$C$4:$N$4,'Expend - Overall'!$Y$2,'Expend - OverallBUD'!$C27:$N27)</f>
        <v>10510</v>
      </c>
      <c r="Z27" s="37">
        <f t="shared" si="8"/>
        <v>73.319999999999709</v>
      </c>
      <c r="AB27" s="131">
        <f>SUMIF('Expend - OverallPY'!$B$4:$M$4,'Expend - Overall'!$AB$2,'Expend - OverallPY'!$B27:$M27)</f>
        <v>9938.89</v>
      </c>
      <c r="AC27" s="36">
        <f t="shared" si="5"/>
        <v>-497.79000000000087</v>
      </c>
      <c r="AD27" s="194">
        <f t="shared" si="10"/>
        <v>-4.7696202240559371E-2</v>
      </c>
      <c r="AE27" s="36"/>
    </row>
    <row r="28" spans="1:31" s="19" customFormat="1">
      <c r="A28" s="24" t="s">
        <v>106</v>
      </c>
      <c r="B28" s="36">
        <f>'Expend - General'!C28+'Expend - Fabric'!C28+'Expend - FlowerFund'!C28+'Expend - SSchoolFund'!C28+'Expend - ReithMemorial'!C28+'Expend - SfSFund'!C28+'Expend - Guild'!C28+'Expend - Organ'!C28+'Expend - JrChurch'!C28+'Expend - Benevolent'!C28+'Expend - Friday'!C28</f>
        <v>1239.26</v>
      </c>
      <c r="C28" s="36">
        <f>'Expend - General'!D28+'Expend - Fabric'!D28+'Expend - FlowerFund'!D28+'Expend - SSchoolFund'!D28+'Expend - ReithMemorial'!D28+'Expend - SfSFund'!D28+'Expend - Guild'!D28+'Expend - Organ'!D28+'Expend - JrChurch'!D28+'Expend - Benevolent'!D28+'Expend - Friday'!D28</f>
        <v>1239.27</v>
      </c>
      <c r="D28" s="36">
        <f>'Expend - General'!E28+'Expend - Fabric'!E28+'Expend - FlowerFund'!E28+'Expend - SSchoolFund'!E28+'Expend - ReithMemorial'!E28+'Expend - SfSFund'!E28+'Expend - Guild'!E28+'Expend - Organ'!E28+'Expend - JrChurch'!E28+'Expend - Benevolent'!E28+'Expend - Friday'!E28</f>
        <v>1487.3</v>
      </c>
      <c r="E28" s="36">
        <f>'Expend - General'!F28+'Expend - Fabric'!F28+'Expend - FlowerFund'!F28+'Expend - SSchoolFund'!F28+'Expend - ReithMemorial'!F28+'Expend - SfSFund'!F28+'Expend - Guild'!F28+'Expend - Organ'!F28+'Expend - JrChurch'!F28+'Expend - Benevolent'!F28+'Expend - Friday'!F28</f>
        <v>1244.3399999999999</v>
      </c>
      <c r="F28" s="36">
        <f>'Expend - General'!G28+'Expend - Fabric'!G28+'Expend - FlowerFund'!G28+'Expend - SSchoolFund'!G28+'Expend - ReithMemorial'!G28+'Expend - SfSFund'!G28+'Expend - Guild'!G28+'Expend - Organ'!G28+'Expend - JrChurch'!G28+'Expend - Benevolent'!G28+'Expend - Friday'!G28</f>
        <v>1446.93</v>
      </c>
      <c r="G28" s="36">
        <f>'Expend - General'!H28+'Expend - Fabric'!H28+'Expend - FlowerFund'!H28+'Expend - SSchoolFund'!H28+'Expend - ReithMemorial'!H28+'Expend - SfSFund'!H28+'Expend - Guild'!H28+'Expend - Organ'!H28+'Expend - JrChurch'!H28+'Expend - Benevolent'!H28+'Expend - Friday'!H28</f>
        <v>0</v>
      </c>
      <c r="H28" s="36">
        <f>'Expend - General'!I28+'Expend - Fabric'!I28+'Expend - FlowerFund'!I28+'Expend - SSchoolFund'!I28+'Expend - ReithMemorial'!I28+'Expend - SfSFund'!I28+'Expend - Guild'!I28+'Expend - Organ'!I28+'Expend - JrChurch'!I28+'Expend - Benevolent'!I28+'Expend - Friday'!I28</f>
        <v>0</v>
      </c>
      <c r="I28" s="36">
        <f>'Expend - General'!J28+'Expend - Fabric'!J28+'Expend - FlowerFund'!J28+'Expend - SSchoolFund'!J28+'Expend - ReithMemorial'!J28+'Expend - SfSFund'!J28+'Expend - Guild'!J28+'Expend - Organ'!J28+'Expend - JrChurch'!J28+'Expend - Benevolent'!J28+'Expend - Friday'!J28</f>
        <v>0</v>
      </c>
      <c r="J28" s="36">
        <f>'Expend - General'!K28+'Expend - Fabric'!K28+'Expend - FlowerFund'!K28+'Expend - SSchoolFund'!K28+'Expend - ReithMemorial'!K28+'Expend - SfSFund'!K28+'Expend - Guild'!K28+'Expend - Organ'!K28+'Expend - JrChurch'!K28+'Expend - Benevolent'!K28+'Expend - Friday'!K28</f>
        <v>0</v>
      </c>
      <c r="K28" s="36">
        <f>'Expend - General'!L28+'Expend - Fabric'!L28+'Expend - FlowerFund'!L28+'Expend - SSchoolFund'!L28+'Expend - ReithMemorial'!L28+'Expend - SfSFund'!L28+'Expend - Guild'!L28+'Expend - Organ'!L28+'Expend - JrChurch'!L28+'Expend - Benevolent'!L28+'Expend - Friday'!L28</f>
        <v>0</v>
      </c>
      <c r="L28" s="36">
        <f>'Expend - General'!M28+'Expend - Fabric'!M28+'Expend - FlowerFund'!M28+'Expend - SSchoolFund'!M28+'Expend - ReithMemorial'!M28+'Expend - SfSFund'!M28+'Expend - Guild'!M28+'Expend - Organ'!M28+'Expend - JrChurch'!M28+'Expend - Benevolent'!M28+'Expend - Friday'!M28</f>
        <v>0</v>
      </c>
      <c r="M28" s="36">
        <f>'Expend - General'!N28+'Expend - Fabric'!N28+'Expend - FlowerFund'!N28+'Expend - SSchoolFund'!N28+'Expend - ReithMemorial'!N28+'Expend - SfSFund'!N28+'Expend - Guild'!N28+'Expend - Organ'!N28+'Expend - JrChurch'!N28+'Expend - Benevolent'!N28+'Expend - Friday'!N28</f>
        <v>0</v>
      </c>
      <c r="N28" s="37">
        <f t="shared" si="9"/>
        <v>6657.1</v>
      </c>
      <c r="O28" s="36"/>
      <c r="P28" s="13">
        <f t="shared" si="2"/>
        <v>6657.1</v>
      </c>
      <c r="Q28" s="36"/>
      <c r="R28" s="36"/>
      <c r="S28" s="36"/>
      <c r="T28" s="36"/>
      <c r="U28" s="36"/>
      <c r="V28" s="36"/>
      <c r="W28" s="36">
        <f t="shared" si="4"/>
        <v>6657.1</v>
      </c>
      <c r="Y28" s="131">
        <f>SUMIF('Expend - OverallBUD'!$C$4:$N$4,'Expend - Overall'!$Y$2,'Expend - OverallBUD'!$C28:$N28)</f>
        <v>6815</v>
      </c>
      <c r="Z28" s="37">
        <f t="shared" si="8"/>
        <v>157.89999999999964</v>
      </c>
      <c r="AB28" s="131">
        <f>SUMIF('Expend - OverallPY'!$B$4:$M$4,'Expend - Overall'!$AB$2,'Expend - OverallPY'!$B28:$M28)</f>
        <v>5631.01</v>
      </c>
      <c r="AC28" s="36">
        <f t="shared" si="5"/>
        <v>-1026.0900000000001</v>
      </c>
      <c r="AD28" s="194">
        <f t="shared" si="10"/>
        <v>-0.15413468327049318</v>
      </c>
      <c r="AE28" s="36"/>
    </row>
    <row r="29" spans="1:31" s="19" customFormat="1">
      <c r="A29" s="24" t="s">
        <v>107</v>
      </c>
      <c r="B29" s="36">
        <f>'Expend - General'!C29+'Expend - Fabric'!C29+'Expend - FlowerFund'!C29+'Expend - SSchoolFund'!C29+'Expend - ReithMemorial'!C29+'Expend - SfSFund'!C29+'Expend - Guild'!C29+'Expend - Organ'!C29+'Expend - JrChurch'!C29+'Expend - Benevolent'!C29+'Expend - Friday'!C29</f>
        <v>0</v>
      </c>
      <c r="C29" s="36">
        <f>'Expend - General'!D29+'Expend - Fabric'!D29+'Expend - FlowerFund'!D29+'Expend - SSchoolFund'!D29+'Expend - ReithMemorial'!D29+'Expend - SfSFund'!D29+'Expend - Guild'!D29+'Expend - Organ'!D29+'Expend - JrChurch'!D29+'Expend - Benevolent'!D29+'Expend - Friday'!D29</f>
        <v>0</v>
      </c>
      <c r="D29" s="36">
        <f>'Expend - General'!E29+'Expend - Fabric'!E29+'Expend - FlowerFund'!E29+'Expend - SSchoolFund'!E29+'Expend - ReithMemorial'!E29+'Expend - SfSFund'!E29+'Expend - Guild'!E29+'Expend - Organ'!E29+'Expend - JrChurch'!E29+'Expend - Benevolent'!E29+'Expend - Friday'!E29</f>
        <v>0</v>
      </c>
      <c r="E29" s="36">
        <f>'Expend - General'!F29+'Expend - Fabric'!F29+'Expend - FlowerFund'!F29+'Expend - SSchoolFund'!F29+'Expend - ReithMemorial'!F29+'Expend - SfSFund'!F29+'Expend - Guild'!F29+'Expend - Organ'!F29+'Expend - JrChurch'!F29+'Expend - Benevolent'!F29+'Expend - Friday'!F29</f>
        <v>0</v>
      </c>
      <c r="F29" s="36">
        <f>'Expend - General'!G29+'Expend - Fabric'!G29+'Expend - FlowerFund'!G29+'Expend - SSchoolFund'!G29+'Expend - ReithMemorial'!G29+'Expend - SfSFund'!G29+'Expend - Guild'!G29+'Expend - Organ'!G29+'Expend - JrChurch'!G29+'Expend - Benevolent'!G29+'Expend - Friday'!G29</f>
        <v>0</v>
      </c>
      <c r="G29" s="36">
        <f>'Expend - General'!H29+'Expend - Fabric'!H29+'Expend - FlowerFund'!H29+'Expend - SSchoolFund'!H29+'Expend - ReithMemorial'!H29+'Expend - SfSFund'!H29+'Expend - Guild'!H29+'Expend - Organ'!H29+'Expend - JrChurch'!H29+'Expend - Benevolent'!H29+'Expend - Friday'!H29</f>
        <v>0</v>
      </c>
      <c r="H29" s="36">
        <f>'Expend - General'!I29+'Expend - Fabric'!I29+'Expend - FlowerFund'!I29+'Expend - SSchoolFund'!I29+'Expend - ReithMemorial'!I29+'Expend - SfSFund'!I29+'Expend - Guild'!I29+'Expend - Organ'!I29+'Expend - JrChurch'!I29+'Expend - Benevolent'!I29+'Expend - Friday'!I29</f>
        <v>0</v>
      </c>
      <c r="I29" s="36">
        <f>'Expend - General'!J29+'Expend - Fabric'!J29+'Expend - FlowerFund'!J29+'Expend - SSchoolFund'!J29+'Expend - ReithMemorial'!J29+'Expend - SfSFund'!J29+'Expend - Guild'!J29+'Expend - Organ'!J29+'Expend - JrChurch'!J29+'Expend - Benevolent'!J29+'Expend - Friday'!J29</f>
        <v>0</v>
      </c>
      <c r="J29" s="36">
        <f>'Expend - General'!K29+'Expend - Fabric'!K29+'Expend - FlowerFund'!K29+'Expend - SSchoolFund'!K29+'Expend - ReithMemorial'!K29+'Expend - SfSFund'!K29+'Expend - Guild'!K29+'Expend - Organ'!K29+'Expend - JrChurch'!K29+'Expend - Benevolent'!K29+'Expend - Friday'!K29</f>
        <v>0</v>
      </c>
      <c r="K29" s="36">
        <f>'Expend - General'!L29+'Expend - Fabric'!L29+'Expend - FlowerFund'!L29+'Expend - SSchoolFund'!L29+'Expend - ReithMemorial'!L29+'Expend - SfSFund'!L29+'Expend - Guild'!L29+'Expend - Organ'!L29+'Expend - JrChurch'!L29+'Expend - Benevolent'!L29+'Expend - Friday'!L29</f>
        <v>0</v>
      </c>
      <c r="L29" s="36">
        <f>'Expend - General'!M29+'Expend - Fabric'!M29+'Expend - FlowerFund'!M29+'Expend - SSchoolFund'!M29+'Expend - ReithMemorial'!M29+'Expend - SfSFund'!M29+'Expend - Guild'!M29+'Expend - Organ'!M29+'Expend - JrChurch'!M29+'Expend - Benevolent'!M29+'Expend - Friday'!M29</f>
        <v>0</v>
      </c>
      <c r="M29" s="36">
        <f>'Expend - General'!N29+'Expend - Fabric'!N29+'Expend - FlowerFund'!N29+'Expend - SSchoolFund'!N29+'Expend - ReithMemorial'!N29+'Expend - SfSFund'!N29+'Expend - Guild'!N29+'Expend - Organ'!N29+'Expend - JrChurch'!N29+'Expend - Benevolent'!N29+'Expend - Friday'!N29</f>
        <v>0</v>
      </c>
      <c r="N29" s="37">
        <f t="shared" si="9"/>
        <v>0</v>
      </c>
      <c r="O29" s="36"/>
      <c r="P29" s="13">
        <f t="shared" si="2"/>
        <v>0</v>
      </c>
      <c r="Q29" s="36"/>
      <c r="R29" s="36"/>
      <c r="S29" s="36"/>
      <c r="T29" s="36"/>
      <c r="U29" s="36"/>
      <c r="V29" s="36"/>
      <c r="W29" s="36">
        <f t="shared" si="4"/>
        <v>0</v>
      </c>
      <c r="Y29" s="131">
        <f>SUMIF('Expend - OverallBUD'!$C$4:$N$4,'Expend - Overall'!$Y$2,'Expend - OverallBUD'!$C29:$N29)</f>
        <v>0</v>
      </c>
      <c r="Z29" s="37">
        <f>Y29-N29</f>
        <v>0</v>
      </c>
      <c r="AB29" s="131">
        <f>SUMIF('Expend - OverallPY'!$B$4:$M$4,'Expend - Overall'!$AB$2,'Expend - OverallPY'!$B29:$M29)</f>
        <v>0</v>
      </c>
      <c r="AC29" s="36">
        <f>AB29-N29</f>
        <v>0</v>
      </c>
      <c r="AD29" s="194" t="str">
        <f>IF(ISERROR((AB29/N29)-1),"-",(AB29/N29)-1)</f>
        <v>-</v>
      </c>
      <c r="AE29" s="36"/>
    </row>
    <row r="30" spans="1:31" s="19" customFormat="1">
      <c r="A30" s="24" t="s">
        <v>108</v>
      </c>
      <c r="B30" s="36">
        <f>'Expend - General'!C30+'Expend - Fabric'!C30+'Expend - FlowerFund'!C30+'Expend - SSchoolFund'!C30+'Expend - ReithMemorial'!C30+'Expend - SfSFund'!C30+'Expend - Guild'!C30+'Expend - Organ'!C30+'Expend - JrChurch'!C30+'Expend - Benevolent'!C30+'Expend - Friday'!C30</f>
        <v>0</v>
      </c>
      <c r="C30" s="36">
        <f>'Expend - General'!D30+'Expend - Fabric'!D30+'Expend - FlowerFund'!D30+'Expend - SSchoolFund'!D30+'Expend - ReithMemorial'!D30+'Expend - SfSFund'!D30+'Expend - Guild'!D30+'Expend - Organ'!D30+'Expend - JrChurch'!D30+'Expend - Benevolent'!D30+'Expend - Friday'!D30</f>
        <v>0</v>
      </c>
      <c r="D30" s="13">
        <f>'Expend - General'!E30+'Expend - Fabric'!E30+'Expend - FlowerFund'!E30+'Expend - SSchoolFund'!E30+'Expend - ReithMemorial'!E30+'Expend - SfSFund'!E30+'Expend - Guild'!E30+'Expend - Organ'!E30+'Expend - JrChurch'!E30+'Expend - Benevolent'!E30+'Expend - Friday'!E30</f>
        <v>0</v>
      </c>
      <c r="E30" s="36">
        <f>'Expend - General'!F30+'Expend - Fabric'!F30+'Expend - FlowerFund'!F30+'Expend - SSchoolFund'!F30+'Expend - ReithMemorial'!F30+'Expend - SfSFund'!F30+'Expend - Guild'!F30+'Expend - Organ'!F30+'Expend - JrChurch'!F30+'Expend - Benevolent'!F30+'Expend - Friday'!F30</f>
        <v>0</v>
      </c>
      <c r="F30" s="36">
        <f>'Expend - General'!G30+'Expend - Fabric'!G30+'Expend - FlowerFund'!G30+'Expend - SSchoolFund'!G30+'Expend - ReithMemorial'!G30+'Expend - SfSFund'!G30+'Expend - Guild'!G30+'Expend - Organ'!G30+'Expend - JrChurch'!G30+'Expend - Benevolent'!G30+'Expend - Friday'!G30</f>
        <v>0</v>
      </c>
      <c r="G30" s="36">
        <f>'Expend - General'!H30+'Expend - Fabric'!H30+'Expend - FlowerFund'!H30+'Expend - SSchoolFund'!H30+'Expend - ReithMemorial'!H30+'Expend - SfSFund'!H30+'Expend - Guild'!H30+'Expend - Organ'!H30+'Expend - JrChurch'!H30+'Expend - Benevolent'!H30+'Expend - Friday'!H30</f>
        <v>0</v>
      </c>
      <c r="H30" s="36">
        <f>'Expend - General'!I30+'Expend - Fabric'!I30+'Expend - FlowerFund'!I30+'Expend - SSchoolFund'!I30+'Expend - ReithMemorial'!I30+'Expend - SfSFund'!I30+'Expend - Guild'!I30+'Expend - Organ'!I30+'Expend - JrChurch'!I30+'Expend - Benevolent'!I30+'Expend - Friday'!I30</f>
        <v>0</v>
      </c>
      <c r="I30" s="36">
        <f>'Expend - General'!J30+'Expend - Fabric'!J30+'Expend - FlowerFund'!J30+'Expend - SSchoolFund'!J30+'Expend - ReithMemorial'!J30+'Expend - SfSFund'!J30+'Expend - Guild'!J30+'Expend - Organ'!J30+'Expend - JrChurch'!J30+'Expend - Benevolent'!J30+'Expend - Friday'!J30</f>
        <v>0</v>
      </c>
      <c r="J30" s="36">
        <f>'Expend - General'!K30+'Expend - Fabric'!K30+'Expend - FlowerFund'!K30+'Expend - SSchoolFund'!K30+'Expend - ReithMemorial'!K30+'Expend - SfSFund'!K30+'Expend - Guild'!K30+'Expend - Organ'!K30+'Expend - JrChurch'!K30+'Expend - Benevolent'!K30+'Expend - Friday'!K30</f>
        <v>0</v>
      </c>
      <c r="K30" s="36">
        <f>'Expend - General'!L30+'Expend - Fabric'!L30+'Expend - FlowerFund'!L30+'Expend - SSchoolFund'!L30+'Expend - ReithMemorial'!L30+'Expend - SfSFund'!L30+'Expend - Guild'!L30+'Expend - Organ'!L30+'Expend - JrChurch'!L30+'Expend - Benevolent'!L30+'Expend - Friday'!L30</f>
        <v>0</v>
      </c>
      <c r="L30" s="36">
        <f>'Expend - General'!M30+'Expend - Fabric'!M30+'Expend - FlowerFund'!M30+'Expend - SSchoolFund'!M30+'Expend - ReithMemorial'!M30+'Expend - SfSFund'!M30+'Expend - Guild'!M30+'Expend - Organ'!M30+'Expend - JrChurch'!M30+'Expend - Benevolent'!M30+'Expend - Friday'!M30</f>
        <v>0</v>
      </c>
      <c r="M30" s="36">
        <f>'Expend - General'!N30+'Expend - Fabric'!N30+'Expend - FlowerFund'!N30+'Expend - SSchoolFund'!N30+'Expend - ReithMemorial'!N30+'Expend - SfSFund'!N30+'Expend - Guild'!N30+'Expend - Organ'!N30+'Expend - JrChurch'!N30+'Expend - Benevolent'!N30+'Expend - Friday'!N30</f>
        <v>0</v>
      </c>
      <c r="N30" s="37">
        <f t="shared" si="9"/>
        <v>0</v>
      </c>
      <c r="O30" s="36"/>
      <c r="P30" s="13">
        <f t="shared" si="2"/>
        <v>0</v>
      </c>
      <c r="Q30" s="36"/>
      <c r="R30" s="36"/>
      <c r="S30" s="36"/>
      <c r="T30" s="36"/>
      <c r="U30" s="36"/>
      <c r="V30" s="36"/>
      <c r="W30" s="36">
        <f t="shared" si="4"/>
        <v>0</v>
      </c>
      <c r="Y30" s="131">
        <f>SUMIF('Expend - OverallBUD'!$C$4:$N$4,'Expend - Overall'!$Y$2,'Expend - OverallBUD'!$C30:$N30)</f>
        <v>0</v>
      </c>
      <c r="Z30" s="37">
        <f>Y30-N30</f>
        <v>0</v>
      </c>
      <c r="AB30" s="131">
        <f>SUMIF('Expend - OverallPY'!$B$4:$M$4,'Expend - Overall'!$AB$2,'Expend - OverallPY'!$B30:$M30)</f>
        <v>0</v>
      </c>
      <c r="AC30" s="36">
        <f>AB30-N30</f>
        <v>0</v>
      </c>
      <c r="AD30" s="194" t="str">
        <f>IF(ISERROR((AB30/N30)-1),"-",(AB30/N30)-1)</f>
        <v>-</v>
      </c>
      <c r="AE30" s="36"/>
    </row>
    <row r="31" spans="1:31" s="19" customFormat="1">
      <c r="A31" s="24" t="s">
        <v>109</v>
      </c>
      <c r="B31" s="36">
        <f>'Expend - General'!C31+'Expend - Fabric'!C31+'Expend - FlowerFund'!C31+'Expend - SSchoolFund'!C31+'Expend - ReithMemorial'!C31+'Expend - SfSFund'!C31+'Expend - Guild'!C31+'Expend - Organ'!C31+'Expend - JrChurch'!C31+'Expend - Benevolent'!C31+'Expend - Friday'!C31</f>
        <v>945.13</v>
      </c>
      <c r="C31" s="36">
        <f>'Expend - General'!D31+'Expend - Fabric'!D31+'Expend - FlowerFund'!D31+'Expend - SSchoolFund'!D31+'Expend - ReithMemorial'!D31+'Expend - SfSFund'!D31+'Expend - Guild'!D31+'Expend - Organ'!D31+'Expend - JrChurch'!D31+'Expend - Benevolent'!D31+'Expend - Friday'!D31</f>
        <v>0</v>
      </c>
      <c r="D31" s="36">
        <f>'Expend - General'!E31+'Expend - Fabric'!E31+'Expend - FlowerFund'!E31+'Expend - SSchoolFund'!E31+'Expend - ReithMemorial'!E31+'Expend - SfSFund'!E31+'Expend - Guild'!E31+'Expend - Organ'!E31+'Expend - JrChurch'!E31+'Expend - Benevolent'!E31+'Expend - Friday'!E31</f>
        <v>945.13</v>
      </c>
      <c r="E31" s="36">
        <f>'Expend - General'!F31+'Expend - Fabric'!F31+'Expend - FlowerFund'!F31+'Expend - SSchoolFund'!F31+'Expend - ReithMemorial'!F31+'Expend - SfSFund'!F31+'Expend - Guild'!F31+'Expend - Organ'!F31+'Expend - JrChurch'!F31+'Expend - Benevolent'!F31+'Expend - Friday'!F31</f>
        <v>1397.41</v>
      </c>
      <c r="F31" s="36">
        <f>'Expend - General'!G31+'Expend - Fabric'!G31+'Expend - FlowerFund'!G31+'Expend - SSchoolFund'!G31+'Expend - ReithMemorial'!G31+'Expend - SfSFund'!G31+'Expend - Guild'!G31+'Expend - Organ'!G31+'Expend - JrChurch'!G31+'Expend - Benevolent'!G31+'Expend - Friday'!G31</f>
        <v>605.65</v>
      </c>
      <c r="G31" s="36">
        <f>'Expend - General'!H31+'Expend - Fabric'!H31+'Expend - FlowerFund'!H31+'Expend - SSchoolFund'!H31+'Expend - ReithMemorial'!H31+'Expend - SfSFund'!H31+'Expend - Guild'!H31+'Expend - Organ'!H31+'Expend - JrChurch'!H31+'Expend - Benevolent'!H31+'Expend - Friday'!H31</f>
        <v>0</v>
      </c>
      <c r="H31" s="36">
        <f>'Expend - General'!I31+'Expend - Fabric'!I31+'Expend - FlowerFund'!I31+'Expend - SSchoolFund'!I31+'Expend - ReithMemorial'!I31+'Expend - SfSFund'!I31+'Expend - Guild'!I31+'Expend - Organ'!I31+'Expend - JrChurch'!I31+'Expend - Benevolent'!I31+'Expend - Friday'!I31</f>
        <v>0</v>
      </c>
      <c r="I31" s="36">
        <f>'Expend - General'!J31+'Expend - Fabric'!J31+'Expend - FlowerFund'!J31+'Expend - SSchoolFund'!J31+'Expend - ReithMemorial'!J31+'Expend - SfSFund'!J31+'Expend - Guild'!J31+'Expend - Organ'!J31+'Expend - JrChurch'!J31+'Expend - Benevolent'!J31+'Expend - Friday'!J31</f>
        <v>0</v>
      </c>
      <c r="J31" s="36">
        <f>'Expend - General'!K31+'Expend - Fabric'!K31+'Expend - FlowerFund'!K31+'Expend - SSchoolFund'!K31+'Expend - ReithMemorial'!K31+'Expend - SfSFund'!K31+'Expend - Guild'!K31+'Expend - Organ'!K31+'Expend - JrChurch'!K31+'Expend - Benevolent'!K31+'Expend - Friday'!K31</f>
        <v>0</v>
      </c>
      <c r="K31" s="36">
        <f>'Expend - General'!L31+'Expend - Fabric'!L31+'Expend - FlowerFund'!L31+'Expend - SSchoolFund'!L31+'Expend - ReithMemorial'!L31+'Expend - SfSFund'!L31+'Expend - Guild'!L31+'Expend - Organ'!L31+'Expend - JrChurch'!L31+'Expend - Benevolent'!L31+'Expend - Friday'!L31</f>
        <v>0</v>
      </c>
      <c r="L31" s="36">
        <f>'Expend - General'!M31+'Expend - Fabric'!M31+'Expend - FlowerFund'!M31+'Expend - SSchoolFund'!M31+'Expend - ReithMemorial'!M31+'Expend - SfSFund'!M31+'Expend - Guild'!M31+'Expend - Organ'!M31+'Expend - JrChurch'!M31+'Expend - Benevolent'!M31+'Expend - Friday'!M31</f>
        <v>0</v>
      </c>
      <c r="M31" s="36">
        <f>'Expend - General'!N31+'Expend - Fabric'!N31+'Expend - FlowerFund'!N31+'Expend - SSchoolFund'!N31+'Expend - ReithMemorial'!N31+'Expend - SfSFund'!N31+'Expend - Guild'!N31+'Expend - Organ'!N31+'Expend - JrChurch'!N31+'Expend - Benevolent'!N31+'Expend - Friday'!N31</f>
        <v>0</v>
      </c>
      <c r="N31" s="37">
        <f t="shared" si="9"/>
        <v>3893.32</v>
      </c>
      <c r="O31" s="36"/>
      <c r="P31" s="13"/>
      <c r="Q31" s="36"/>
      <c r="R31" s="36"/>
      <c r="S31" s="36"/>
      <c r="T31" s="36"/>
      <c r="U31" s="36"/>
      <c r="V31" s="36"/>
      <c r="W31" s="36"/>
      <c r="Y31" s="131">
        <f>SUMIF('Expend - OverallBUD'!$C$4:$N$4,'Expend - Overall'!$Y$2,'Expend - OverallBUD'!$C31:$N31)</f>
        <v>5571</v>
      </c>
      <c r="Z31" s="35">
        <f>Y31-N31</f>
        <v>1677.6799999999998</v>
      </c>
      <c r="AB31" s="131">
        <f>SUMIF('Expend - OverallPY'!$B$4:$M$4,'Expend - Overall'!$AB$2,'Expend - OverallPY'!$B31:$M31)</f>
        <v>4702.0200000000004</v>
      </c>
      <c r="AC31" s="34">
        <f>AB31-N31</f>
        <v>808.70000000000027</v>
      </c>
      <c r="AD31" s="193">
        <f>IF(ISERROR((AB31/N31)-1),"-",(AB31/N31)-1)</f>
        <v>0.20771475244778248</v>
      </c>
      <c r="AE31" s="36"/>
    </row>
    <row r="32" spans="1:31" s="19" customFormat="1">
      <c r="A32" s="38"/>
      <c r="B32" s="36"/>
      <c r="C32" s="36"/>
      <c r="D32" s="36"/>
      <c r="E32" s="36"/>
      <c r="F32" s="36"/>
      <c r="G32" s="36"/>
      <c r="H32" s="36"/>
      <c r="I32" s="36"/>
      <c r="J32" s="36"/>
      <c r="K32" s="36"/>
      <c r="L32" s="36"/>
      <c r="M32" s="36"/>
      <c r="N32" s="36"/>
      <c r="O32" s="36"/>
      <c r="P32" s="13"/>
      <c r="Q32" s="13"/>
      <c r="R32" s="13"/>
      <c r="S32" s="13"/>
      <c r="T32" s="13"/>
      <c r="U32" s="13"/>
      <c r="V32" s="13"/>
      <c r="W32" s="13"/>
      <c r="Y32" s="36"/>
      <c r="Z32" s="36"/>
      <c r="AB32" s="36"/>
      <c r="AE32" s="36"/>
    </row>
    <row r="33" spans="1:31">
      <c r="A33" s="15" t="s">
        <v>110</v>
      </c>
      <c r="B33" s="13">
        <f>SUM(B34:B35)</f>
        <v>8263.73</v>
      </c>
      <c r="C33" s="13">
        <f t="shared" ref="C33:O33" si="11">SUM(C34:C35)</f>
        <v>869.89</v>
      </c>
      <c r="D33" s="13">
        <f t="shared" si="11"/>
        <v>19098.32</v>
      </c>
      <c r="E33" s="13">
        <f t="shared" si="11"/>
        <v>-16600.86</v>
      </c>
      <c r="F33" s="13">
        <f t="shared" si="11"/>
        <v>120.67</v>
      </c>
      <c r="G33" s="13">
        <f t="shared" si="11"/>
        <v>0</v>
      </c>
      <c r="H33" s="13">
        <f t="shared" si="11"/>
        <v>0</v>
      </c>
      <c r="I33" s="13">
        <f t="shared" si="11"/>
        <v>0</v>
      </c>
      <c r="J33" s="13">
        <f t="shared" si="11"/>
        <v>0</v>
      </c>
      <c r="K33" s="13">
        <f t="shared" si="11"/>
        <v>0</v>
      </c>
      <c r="L33" s="13">
        <f t="shared" si="11"/>
        <v>0</v>
      </c>
      <c r="M33" s="13">
        <f t="shared" ref="M33" si="12">SUM(M34:M35)</f>
        <v>0</v>
      </c>
      <c r="N33" s="37">
        <f t="shared" si="9"/>
        <v>11751.749999999998</v>
      </c>
      <c r="O33" s="13">
        <f t="shared" si="11"/>
        <v>0</v>
      </c>
      <c r="P33" s="13">
        <f t="shared" si="2"/>
        <v>11751.749999999998</v>
      </c>
      <c r="Q33" s="13"/>
      <c r="R33" s="13"/>
      <c r="S33" s="13"/>
      <c r="T33" s="13"/>
      <c r="U33" s="13"/>
      <c r="V33" s="13"/>
      <c r="W33" s="13">
        <f>SUM(P33:V33)</f>
        <v>11751.749999999998</v>
      </c>
      <c r="Y33" s="13">
        <f>SUM(Y34:Y35)</f>
        <v>9150</v>
      </c>
      <c r="Z33" s="13">
        <f>SUM(Z34:Z35)</f>
        <v>-2601.7499999999982</v>
      </c>
      <c r="AB33" s="13">
        <f>SUM(AB34:AB35)</f>
        <v>3522.15</v>
      </c>
      <c r="AC33" s="13">
        <f>AB33-N33</f>
        <v>-8229.5999999999985</v>
      </c>
      <c r="AD33" s="190">
        <f>IF(ISERROR((AB33/N33)-1),"-",(AB33/N33)-1)</f>
        <v>-0.70028719126938532</v>
      </c>
      <c r="AE33" s="13"/>
    </row>
    <row r="34" spans="1:31" s="19" customFormat="1">
      <c r="A34" s="20" t="s">
        <v>111</v>
      </c>
      <c r="B34" s="32">
        <f>'Expend - General'!C35+'Expend - Fabric'!C34+'Expend - FlowerFund'!C34+'Expend - SSchoolFund'!C34+'Expend - ReithMemorial'!C34+'Expend - SfSFund'!C34+'Expend - Guild'!C34+'Expend - Organ'!C34+'Expend - JrChurch'!C34+'Expend - Benevolent'!C34+'Expend - Friday'!C34</f>
        <v>8263.73</v>
      </c>
      <c r="C34" s="32">
        <f>'Expend - General'!D35+'Expend - Fabric'!D34+'Expend - FlowerFund'!D34+'Expend - SSchoolFund'!D34+'Expend - ReithMemorial'!D34+'Expend - SfSFund'!D34+'Expend - Guild'!D34+'Expend - Organ'!D34+'Expend - JrChurch'!D34+'Expend - Benevolent'!D34+'Expend - Friday'!D34</f>
        <v>869.89</v>
      </c>
      <c r="D34" s="32">
        <f>'Expend - General'!E35+'Expend - Fabric'!E34+'Expend - FlowerFund'!E34+'Expend - SSchoolFund'!E34+'Expend - ReithMemorial'!E34+'Expend - SfSFund'!E34+'Expend - Guild'!E34+'Expend - Organ'!E34+'Expend - JrChurch'!E34+'Expend - Benevolent'!E34+'Expend - Friday'!E34</f>
        <v>19098.32</v>
      </c>
      <c r="E34" s="32">
        <f>'Expend - General'!F35+'Expend - Fabric'!F34+'Expend - FlowerFund'!F34+'Expend - SSchoolFund'!F34+'Expend - ReithMemorial'!F34+'Expend - SfSFund'!F34+'Expend - Guild'!F34+'Expend - Organ'!F34+'Expend - JrChurch'!F34+'Expend - Benevolent'!F34+'Expend - Friday'!F34</f>
        <v>-17692.86</v>
      </c>
      <c r="F34" s="32">
        <f>'Expend - General'!G35+'Expend - Fabric'!G34+'Expend - FlowerFund'!G34+'Expend - SSchoolFund'!G34+'Expend - ReithMemorial'!G34+'Expend - SfSFund'!G34+'Expend - Guild'!G34+'Expend - Organ'!G34+'Expend - JrChurch'!G34+'Expend - Benevolent'!G34+'Expend - Friday'!G34</f>
        <v>120.67</v>
      </c>
      <c r="G34" s="32">
        <f>'Expend - General'!H35+'Expend - Fabric'!H34+'Expend - FlowerFund'!H34+'Expend - SSchoolFund'!H34+'Expend - ReithMemorial'!H34+'Expend - SfSFund'!H34+'Expend - Guild'!H34+'Expend - Organ'!H34+'Expend - JrChurch'!H34+'Expend - Benevolent'!H34+'Expend - Friday'!H34</f>
        <v>0</v>
      </c>
      <c r="H34" s="32">
        <f>'Expend - General'!I35+'Expend - Fabric'!I34+'Expend - FlowerFund'!I34+'Expend - SSchoolFund'!I34+'Expend - ReithMemorial'!I34+'Expend - SfSFund'!I34+'Expend - Guild'!I34+'Expend - Organ'!I34+'Expend - JrChurch'!I34+'Expend - Benevolent'!I34+'Expend - Friday'!I34</f>
        <v>0</v>
      </c>
      <c r="I34" s="32">
        <f>'Expend - General'!J35+'Expend - Fabric'!J34+'Expend - FlowerFund'!J34+'Expend - SSchoolFund'!J34+'Expend - ReithMemorial'!J34+'Expend - SfSFund'!J34+'Expend - Guild'!J34+'Expend - Organ'!J34+'Expend - JrChurch'!J34+'Expend - Benevolent'!J34+'Expend - Friday'!J34</f>
        <v>0</v>
      </c>
      <c r="J34" s="32">
        <f>'Expend - General'!K35+'Expend - Fabric'!K34+'Expend - FlowerFund'!K34+'Expend - SSchoolFund'!K34+'Expend - ReithMemorial'!K34+'Expend - SfSFund'!K34+'Expend - Guild'!K34+'Expend - Organ'!K34+'Expend - JrChurch'!K34+'Expend - Benevolent'!K34+'Expend - Friday'!K34</f>
        <v>0</v>
      </c>
      <c r="K34" s="32">
        <f>'Expend - General'!L35+'Expend - Fabric'!L34+'Expend - FlowerFund'!L34+'Expend - SSchoolFund'!L34+'Expend - ReithMemorial'!L34+'Expend - SfSFund'!L34+'Expend - Guild'!L34+'Expend - Organ'!L34+'Expend - JrChurch'!L34+'Expend - Benevolent'!L34+'Expend - Friday'!L34</f>
        <v>0</v>
      </c>
      <c r="L34" s="32">
        <f>'Expend - General'!M35+'Expend - Fabric'!M34+'Expend - FlowerFund'!M34+'Expend - SSchoolFund'!M34+'Expend - ReithMemorial'!M34+'Expend - SfSFund'!M34+'Expend - Guild'!M34+'Expend - Organ'!M34+'Expend - JrChurch'!M34+'Expend - Benevolent'!M34+'Expend - Friday'!M34</f>
        <v>0</v>
      </c>
      <c r="M34" s="32">
        <f>'Expend - General'!N35+'Expend - Fabric'!N34+'Expend - FlowerFund'!N34+'Expend - SSchoolFund'!N34+'Expend - ReithMemorial'!N34+'Expend - SfSFund'!N34+'Expend - Guild'!N34+'Expend - Organ'!N34+'Expend - JrChurch'!N34+'Expend - Benevolent'!N34+'Expend - Friday'!N34</f>
        <v>0</v>
      </c>
      <c r="N34" s="37">
        <f t="shared" si="9"/>
        <v>10659.749999999998</v>
      </c>
      <c r="O34" s="36"/>
      <c r="P34" s="13">
        <f t="shared" si="2"/>
        <v>10659.749999999998</v>
      </c>
      <c r="Q34" s="13"/>
      <c r="R34" s="13"/>
      <c r="S34" s="13"/>
      <c r="T34" s="13"/>
      <c r="U34" s="13"/>
      <c r="V34" s="13"/>
      <c r="W34" s="13">
        <f>SUM(P34:V34)</f>
        <v>10659.749999999998</v>
      </c>
      <c r="Y34" s="127">
        <f>SUMIF('Expend - OverallBUD'!$C$4:$N$4,'Expend - Overall'!$Y$2,'Expend - OverallBUD'!$C34:$N34)</f>
        <v>8150</v>
      </c>
      <c r="Z34" s="33">
        <f>Y34-N34</f>
        <v>-2509.7499999999982</v>
      </c>
      <c r="AB34" s="127">
        <f>SUMIF('Expend - OverallPY'!$B$4:$M$4,'Expend - Overall'!$AB$2,'Expend - OverallPY'!$B34:$M34)</f>
        <v>3522.15</v>
      </c>
      <c r="AC34" s="32">
        <f>AB34-N34</f>
        <v>-7137.5999999999985</v>
      </c>
      <c r="AD34" s="192">
        <f>IF(ISERROR((AB34/N34)-1),"-",(AB34/N34)-1)</f>
        <v>-0.6695841834939843</v>
      </c>
      <c r="AE34" s="36"/>
    </row>
    <row r="35" spans="1:31" s="19" customFormat="1">
      <c r="A35" s="22" t="s">
        <v>112</v>
      </c>
      <c r="B35" s="34">
        <f>'Expend - General'!C36+'Expend - Fabric'!C35+'Expend - FlowerFund'!C35+'Expend - SSchoolFund'!C35+'Expend - ReithMemorial'!C35+'Expend - SfSFund'!C35+'Expend - Guild'!C35+'Expend - Organ'!C35+'Expend - JrChurch'!C35+'Expend - Benevolent'!C35+'Expend - Friday'!C35</f>
        <v>0</v>
      </c>
      <c r="C35" s="34">
        <f>'Expend - General'!D36+'Expend - Fabric'!D35+'Expend - FlowerFund'!D35+'Expend - SSchoolFund'!D35+'Expend - ReithMemorial'!D35+'Expend - SfSFund'!D35+'Expend - Guild'!D35+'Expend - Organ'!D35+'Expend - JrChurch'!D35+'Expend - Benevolent'!D35+'Expend - Friday'!D35</f>
        <v>0</v>
      </c>
      <c r="D35" s="34">
        <f>'Expend - General'!E36+'Expend - Fabric'!E35+'Expend - FlowerFund'!E35+'Expend - SSchoolFund'!E35+'Expend - ReithMemorial'!E35+'Expend - SfSFund'!E35+'Expend - Guild'!E35+'Expend - Organ'!E35+'Expend - JrChurch'!E35+'Expend - Benevolent'!E35+'Expend - Friday'!E35</f>
        <v>0</v>
      </c>
      <c r="E35" s="34">
        <f>'Expend - General'!F36+'Expend - Fabric'!F35+'Expend - FlowerFund'!F35+'Expend - SSchoolFund'!F35+'Expend - ReithMemorial'!F35+'Expend - SfSFund'!F35+'Expend - Guild'!F35+'Expend - Organ'!F35+'Expend - JrChurch'!F35+'Expend - Benevolent'!F35+'Expend - Friday'!F35</f>
        <v>1092</v>
      </c>
      <c r="F35" s="34">
        <f>'Expend - General'!G36+'Expend - Fabric'!G35+'Expend - FlowerFund'!G35+'Expend - SSchoolFund'!G35+'Expend - ReithMemorial'!G35+'Expend - SfSFund'!G35+'Expend - Guild'!G35+'Expend - Organ'!G35+'Expend - JrChurch'!G35+'Expend - Benevolent'!G35+'Expend - Friday'!G35</f>
        <v>0</v>
      </c>
      <c r="G35" s="34">
        <f>'Expend - General'!H36+'Expend - Fabric'!H35+'Expend - FlowerFund'!H35+'Expend - SSchoolFund'!H35+'Expend - ReithMemorial'!H35+'Expend - SfSFund'!H35+'Expend - Guild'!H35+'Expend - Organ'!H35+'Expend - JrChurch'!H35+'Expend - Benevolent'!H35+'Expend - Friday'!H35</f>
        <v>0</v>
      </c>
      <c r="H35" s="34">
        <f>'Expend - General'!I36+'Expend - Fabric'!I35+'Expend - FlowerFund'!I35+'Expend - SSchoolFund'!I35+'Expend - ReithMemorial'!I35+'Expend - SfSFund'!I35+'Expend - Guild'!I35+'Expend - Organ'!I35+'Expend - JrChurch'!I35+'Expend - Benevolent'!I35+'Expend - Friday'!I35</f>
        <v>0</v>
      </c>
      <c r="I35" s="34">
        <f>'Expend - General'!J36+'Expend - Fabric'!J35+'Expend - FlowerFund'!J35+'Expend - SSchoolFund'!J35+'Expend - ReithMemorial'!J35+'Expend - SfSFund'!J35+'Expend - Guild'!J35+'Expend - Organ'!J35+'Expend - JrChurch'!J35+'Expend - Benevolent'!J35+'Expend - Friday'!J35</f>
        <v>0</v>
      </c>
      <c r="J35" s="34">
        <f>'Expend - General'!K36+'Expend - Fabric'!K35+'Expend - FlowerFund'!K35+'Expend - SSchoolFund'!K35+'Expend - ReithMemorial'!K35+'Expend - SfSFund'!K35+'Expend - Guild'!K35+'Expend - Organ'!K35+'Expend - JrChurch'!K35+'Expend - Benevolent'!K35+'Expend - Friday'!K35</f>
        <v>0</v>
      </c>
      <c r="K35" s="34">
        <f>'Expend - General'!L36+'Expend - Fabric'!L35+'Expend - FlowerFund'!L35+'Expend - SSchoolFund'!L35+'Expend - ReithMemorial'!L35+'Expend - SfSFund'!L35+'Expend - Guild'!L35+'Expend - Organ'!L35+'Expend - JrChurch'!L35+'Expend - Benevolent'!L35+'Expend - Friday'!L35</f>
        <v>0</v>
      </c>
      <c r="L35" s="34">
        <f>'Expend - General'!M36+'Expend - Fabric'!M35+'Expend - FlowerFund'!M35+'Expend - SSchoolFund'!M35+'Expend - ReithMemorial'!M35+'Expend - SfSFund'!M35+'Expend - Guild'!M35+'Expend - Organ'!M35+'Expend - JrChurch'!M35+'Expend - Benevolent'!M35+'Expend - Friday'!M35</f>
        <v>0</v>
      </c>
      <c r="M35" s="34">
        <f>'Expend - General'!N36+'Expend - Fabric'!N35+'Expend - FlowerFund'!N35+'Expend - SSchoolFund'!N35+'Expend - ReithMemorial'!N35+'Expend - SfSFund'!N35+'Expend - Guild'!N35+'Expend - Organ'!N35+'Expend - JrChurch'!N35+'Expend - Benevolent'!N35+'Expend - Friday'!N35</f>
        <v>0</v>
      </c>
      <c r="N35" s="37">
        <f t="shared" si="9"/>
        <v>1092</v>
      </c>
      <c r="O35" s="36"/>
      <c r="P35" s="13">
        <f t="shared" si="2"/>
        <v>1092</v>
      </c>
      <c r="Q35" s="13"/>
      <c r="R35" s="13"/>
      <c r="S35" s="13"/>
      <c r="T35" s="13"/>
      <c r="U35" s="13"/>
      <c r="V35" s="13"/>
      <c r="W35" s="13">
        <f>SUM(P35:V35)</f>
        <v>1092</v>
      </c>
      <c r="Y35" s="129">
        <f>SUMIF('Expend - OverallBUD'!$C$4:$N$4,'Expend - Overall'!$Y$2,'Expend - OverallBUD'!$C35:$N35)</f>
        <v>1000</v>
      </c>
      <c r="Z35" s="35">
        <f>Y35-N35</f>
        <v>-92</v>
      </c>
      <c r="AB35" s="129">
        <f>SUMIF('Expend - OverallPY'!$B$4:$M$4,'Expend - Overall'!$AB$2,'Expend - OverallPY'!$B35:$M35)</f>
        <v>0</v>
      </c>
      <c r="AC35" s="34">
        <f>AB35-N35</f>
        <v>-1092</v>
      </c>
      <c r="AD35" s="193">
        <f>IF(ISERROR((AB35/N35)-1),"-",(AB35/N35)-1)</f>
        <v>-1</v>
      </c>
      <c r="AE35" s="36"/>
    </row>
    <row r="36" spans="1:31" s="19" customFormat="1">
      <c r="A36" s="38"/>
      <c r="B36" s="36"/>
      <c r="C36" s="36"/>
      <c r="D36" s="36"/>
      <c r="E36" s="36"/>
      <c r="F36" s="36"/>
      <c r="G36" s="36"/>
      <c r="H36" s="36"/>
      <c r="I36" s="36"/>
      <c r="J36" s="36"/>
      <c r="K36" s="36"/>
      <c r="L36" s="36"/>
      <c r="M36" s="36"/>
      <c r="N36" s="36"/>
      <c r="O36" s="36"/>
      <c r="P36" s="13"/>
      <c r="Q36" s="13"/>
      <c r="R36" s="13"/>
      <c r="S36" s="13"/>
      <c r="T36" s="13"/>
      <c r="U36" s="13"/>
      <c r="V36" s="13"/>
      <c r="W36" s="13"/>
      <c r="Y36" s="36"/>
      <c r="Z36" s="36"/>
      <c r="AB36" s="36"/>
      <c r="AE36" s="36"/>
    </row>
    <row r="37" spans="1:31">
      <c r="A37" s="15" t="s">
        <v>113</v>
      </c>
      <c r="B37" s="13">
        <f>'Expend - General'!C38+'Expend - Fabric'!C37+'Expend - FlowerFund'!C37+'Expend - SSchoolFund'!C37+'Expend - ReithMemorial'!C37+'Expend - SfSFund'!C37+'Expend - Guild'!C37+'Expend - Organ'!C37+'Expend - JrChurch'!C37+'Expend - Benevolent'!C37+'Expend - Friday'!C37</f>
        <v>400</v>
      </c>
      <c r="C37" s="13">
        <f>'Expend - General'!D38+'Expend - Fabric'!D37+'Expend - FlowerFund'!D37+'Expend - SSchoolFund'!D37+'Expend - ReithMemorial'!D37+'Expend - SfSFund'!D37+'Expend - Guild'!D37+'Expend - Organ'!D37+'Expend - JrChurch'!D37+'Expend - Benevolent'!D37+'Expend - Friday'!D37</f>
        <v>0</v>
      </c>
      <c r="D37" s="13">
        <f>'Expend - General'!E38+'Expend - Fabric'!E37+'Expend - FlowerFund'!E37+'Expend - SSchoolFund'!E37+'Expend - ReithMemorial'!E37+'Expend - SfSFund'!E37+'Expend - Guild'!E37+'Expend - Organ'!E37+'Expend - JrChurch'!E37+'Expend - Benevolent'!E37+'Expend - Friday'!E37</f>
        <v>0</v>
      </c>
      <c r="E37" s="13">
        <f>'Expend - General'!F38+'Expend - Fabric'!F37+'Expend - FlowerFund'!F37+'Expend - SSchoolFund'!F37+'Expend - ReithMemorial'!F37+'Expend - SfSFund'!F37+'Expend - Guild'!F37+'Expend - Organ'!F37+'Expend - JrChurch'!F37+'Expend - Benevolent'!F37+'Expend - Friday'!F37</f>
        <v>438.03</v>
      </c>
      <c r="F37" s="13">
        <f>'Expend - General'!G38+'Expend - Fabric'!G37+'Expend - FlowerFund'!G37+'Expend - SSchoolFund'!G37+'Expend - ReithMemorial'!G37+'Expend - SfSFund'!G37+'Expend - Guild'!G37+'Expend - Organ'!G37+'Expend - JrChurch'!G37+'Expend - Benevolent'!G37+'Expend - Friday'!G37</f>
        <v>439</v>
      </c>
      <c r="G37" s="13">
        <f>'Expend - General'!H38+'Expend - Fabric'!H37+'Expend - FlowerFund'!H37+'Expend - SSchoolFund'!H37+'Expend - ReithMemorial'!H37+'Expend - SfSFund'!H37+'Expend - Guild'!H37+'Expend - Organ'!H37+'Expend - JrChurch'!H37+'Expend - Benevolent'!H37+'Expend - Friday'!H37</f>
        <v>0</v>
      </c>
      <c r="H37" s="13">
        <f>'Expend - General'!I38+'Expend - Fabric'!I37+'Expend - FlowerFund'!I37+'Expend - SSchoolFund'!I37+'Expend - ReithMemorial'!I37+'Expend - SfSFund'!I37+'Expend - Guild'!I37+'Expend - Organ'!I37+'Expend - JrChurch'!I37+'Expend - Benevolent'!I37+'Expend - Friday'!I37</f>
        <v>0</v>
      </c>
      <c r="I37" s="13">
        <f>'Expend - General'!J38+'Expend - Fabric'!J37+'Expend - FlowerFund'!J37+'Expend - SSchoolFund'!J37+'Expend - ReithMemorial'!J37+'Expend - SfSFund'!J37+'Expend - Guild'!J37+'Expend - Organ'!J37+'Expend - JrChurch'!J37+'Expend - Benevolent'!J37+'Expend - Friday'!J37</f>
        <v>0</v>
      </c>
      <c r="J37" s="13">
        <f>'Expend - General'!K38+'Expend - Fabric'!K37+'Expend - FlowerFund'!K37+'Expend - SSchoolFund'!K37+'Expend - ReithMemorial'!K37+'Expend - SfSFund'!K37+'Expend - Guild'!K37+'Expend - Organ'!K37+'Expend - JrChurch'!K37+'Expend - Benevolent'!K37+'Expend - Friday'!K37</f>
        <v>0</v>
      </c>
      <c r="K37" s="13">
        <f>'Expend - General'!L38+'Expend - Fabric'!L37+'Expend - FlowerFund'!L37+'Expend - SSchoolFund'!L37+'Expend - ReithMemorial'!L37+'Expend - SfSFund'!L37+'Expend - Guild'!L37+'Expend - Organ'!L37+'Expend - JrChurch'!L37+'Expend - Benevolent'!L37+'Expend - Friday'!L37</f>
        <v>0</v>
      </c>
      <c r="L37" s="13">
        <f>'Expend - General'!M38+'Expend - Fabric'!M37+'Expend - FlowerFund'!M37+'Expend - SSchoolFund'!M37+'Expend - ReithMemorial'!M37+'Expend - SfSFund'!M37+'Expend - Guild'!M37+'Expend - Organ'!M37+'Expend - JrChurch'!M37+'Expend - Benevolent'!M37+'Expend - Friday'!M37</f>
        <v>0</v>
      </c>
      <c r="M37" s="13">
        <f>'Expend - General'!N38+'Expend - Fabric'!N37+'Expend - FlowerFund'!N37+'Expend - SSchoolFund'!N37+'Expend - ReithMemorial'!N37+'Expend - SfSFund'!N37+'Expend - Guild'!N37+'Expend - Organ'!N37+'Expend - JrChurch'!N37+'Expend - Benevolent'!N37+'Expend - Friday'!N37</f>
        <v>0</v>
      </c>
      <c r="N37" s="13">
        <f t="shared" ref="N37:N58" si="13">SUM(B37:M37)</f>
        <v>1277.03</v>
      </c>
      <c r="O37" s="13"/>
      <c r="P37" s="13">
        <f t="shared" si="2"/>
        <v>1277.03</v>
      </c>
      <c r="Q37" s="13"/>
      <c r="R37" s="13"/>
      <c r="S37" s="13"/>
      <c r="T37" s="13"/>
      <c r="U37" s="13"/>
      <c r="V37" s="13"/>
      <c r="W37" s="13">
        <f>SUM(P37:V37)</f>
        <v>1277.03</v>
      </c>
      <c r="Y37" s="13">
        <f>SUMIF('Expend - OverallBUD'!$C$4:$N$4,'Expend - Overall'!$Y$2,'Expend - OverallBUD'!$C37:$N37)</f>
        <v>1240</v>
      </c>
      <c r="Z37" s="13">
        <f>Y37-N37</f>
        <v>-37.029999999999973</v>
      </c>
      <c r="AB37" s="13">
        <f>SUMIF('Expend - OverallPY'!$B$4:$M$4,'Expend - Overall'!$AB$2,'Expend - OverallPY'!$B37:$M37)</f>
        <v>1166.31</v>
      </c>
      <c r="AC37" s="13">
        <f>AB37-N37</f>
        <v>-110.72000000000003</v>
      </c>
      <c r="AD37" s="190">
        <f>IF(ISERROR((AB37/N37)-1),"-",(AB37/N37)-1)</f>
        <v>-8.6701173817373189E-2</v>
      </c>
      <c r="AE37" s="13"/>
    </row>
    <row r="38" spans="1:31">
      <c r="A38" s="15" t="s">
        <v>114</v>
      </c>
      <c r="B38" s="13">
        <f>SUM(B39:B41)</f>
        <v>1837.7800000000002</v>
      </c>
      <c r="C38" s="13">
        <f t="shared" ref="C38:O38" si="14">SUM(C39:C41)</f>
        <v>1236.76</v>
      </c>
      <c r="D38" s="13">
        <f t="shared" si="14"/>
        <v>2397.94</v>
      </c>
      <c r="E38" s="13">
        <f t="shared" si="14"/>
        <v>1889.2199999999998</v>
      </c>
      <c r="F38" s="13">
        <f t="shared" si="14"/>
        <v>1602.02</v>
      </c>
      <c r="G38" s="13">
        <f t="shared" si="14"/>
        <v>0</v>
      </c>
      <c r="H38" s="13">
        <f t="shared" si="14"/>
        <v>0</v>
      </c>
      <c r="I38" s="13">
        <f t="shared" si="14"/>
        <v>0</v>
      </c>
      <c r="J38" s="13">
        <f t="shared" si="14"/>
        <v>0</v>
      </c>
      <c r="K38" s="13">
        <f t="shared" si="14"/>
        <v>0</v>
      </c>
      <c r="L38" s="13">
        <f t="shared" si="14"/>
        <v>0</v>
      </c>
      <c r="M38" s="13">
        <f t="shared" si="14"/>
        <v>0</v>
      </c>
      <c r="N38" s="13">
        <f t="shared" si="13"/>
        <v>8963.7199999999993</v>
      </c>
      <c r="O38" s="13">
        <f t="shared" si="14"/>
        <v>0</v>
      </c>
      <c r="P38" s="13">
        <f t="shared" si="2"/>
        <v>8963.7199999999993</v>
      </c>
      <c r="Q38" s="13"/>
      <c r="R38" s="13"/>
      <c r="S38" s="13"/>
      <c r="T38" s="13"/>
      <c r="U38" s="13"/>
      <c r="V38" s="13"/>
      <c r="W38" s="13">
        <f>SUM(P38:V38)</f>
        <v>8963.7199999999993</v>
      </c>
      <c r="Y38" s="13">
        <f>SUM(Y39:Y41)</f>
        <v>7360</v>
      </c>
      <c r="Z38" s="13">
        <f>SUM(Z39:Z41)</f>
        <v>-1603.7200000000007</v>
      </c>
      <c r="AB38" s="13">
        <f>SUM(AB39:AB41)</f>
        <v>7458.8599999999988</v>
      </c>
      <c r="AC38" s="13">
        <f>AB38-N38</f>
        <v>-1504.8600000000006</v>
      </c>
      <c r="AD38" s="190">
        <f>IF(ISERROR((AB38/N38)-1),"-",(AB38/N38)-1)</f>
        <v>-0.16788342340010631</v>
      </c>
      <c r="AE38" s="13"/>
    </row>
    <row r="39" spans="1:31" s="19" customFormat="1">
      <c r="A39" s="20" t="s">
        <v>115</v>
      </c>
      <c r="B39" s="32">
        <f>'Expend - General'!C40+'Expend - Fabric'!C39+'Expend - FlowerFund'!C39+'Expend - SSchoolFund'!C39+'Expend - ReithMemorial'!C39+'Expend - SfSFund'!C39+'Expend - Guild'!C39+'Expend - Organ'!C39+'Expend - JrChurch'!C39+'Expend - Benevolent'!C39+'Expend - Friday'!C39</f>
        <v>1245.6500000000001</v>
      </c>
      <c r="C39" s="32">
        <f>'Expend - General'!D40+'Expend - Fabric'!D39+'Expend - FlowerFund'!D39+'Expend - SSchoolFund'!D39+'Expend - ReithMemorial'!D39+'Expend - SfSFund'!D39+'Expend - Guild'!D39+'Expend - Organ'!D39+'Expend - JrChurch'!D39+'Expend - Benevolent'!D39+'Expend - Friday'!D39</f>
        <v>1236.76</v>
      </c>
      <c r="D39" s="32">
        <f>'Expend - General'!E40+'Expend - Fabric'!E39+'Expend - FlowerFund'!E39+'Expend - SSchoolFund'!E39+'Expend - ReithMemorial'!E39+'Expend - SfSFund'!E39+'Expend - Guild'!E39+'Expend - Organ'!E39+'Expend - JrChurch'!E39+'Expend - Benevolent'!E39+'Expend - Friday'!E39</f>
        <v>1213.68</v>
      </c>
      <c r="E39" s="32">
        <f>'Expend - General'!F40+'Expend - Fabric'!F39+'Expend - FlowerFund'!F39+'Expend - SSchoolFund'!F39+'Expend - ReithMemorial'!F39+'Expend - SfSFund'!F39+'Expend - Guild'!F39+'Expend - Organ'!F39+'Expend - JrChurch'!F39+'Expend - Benevolent'!F39+'Expend - Friday'!F39</f>
        <v>1297.0899999999999</v>
      </c>
      <c r="F39" s="32">
        <f>'Expend - General'!G40+'Expend - Fabric'!G39+'Expend - FlowerFund'!G39+'Expend - SSchoolFund'!G39+'Expend - ReithMemorial'!G39+'Expend - SfSFund'!G39+'Expend - Guild'!G39+'Expend - Organ'!G39+'Expend - JrChurch'!G39+'Expend - Benevolent'!G39+'Expend - Friday'!G39</f>
        <v>1009.89</v>
      </c>
      <c r="G39" s="32">
        <f>'Expend - General'!H40+'Expend - Fabric'!H39+'Expend - FlowerFund'!H39+'Expend - SSchoolFund'!H39+'Expend - ReithMemorial'!H39+'Expend - SfSFund'!H39+'Expend - Guild'!H39+'Expend - Organ'!H39+'Expend - JrChurch'!H39+'Expend - Benevolent'!H39+'Expend - Friday'!H39</f>
        <v>0</v>
      </c>
      <c r="H39" s="32">
        <f>'Expend - General'!I40+'Expend - Fabric'!I39+'Expend - FlowerFund'!I39+'Expend - SSchoolFund'!I39+'Expend - ReithMemorial'!I39+'Expend - SfSFund'!I39+'Expend - Guild'!I39+'Expend - Organ'!I39+'Expend - JrChurch'!I39+'Expend - Benevolent'!I39+'Expend - Friday'!I39</f>
        <v>0</v>
      </c>
      <c r="I39" s="32">
        <f>'Expend - General'!J40+'Expend - Fabric'!J39+'Expend - FlowerFund'!J39+'Expend - SSchoolFund'!J39+'Expend - ReithMemorial'!J39+'Expend - SfSFund'!J39+'Expend - Guild'!J39+'Expend - Organ'!J39+'Expend - JrChurch'!J39+'Expend - Benevolent'!J39+'Expend - Friday'!J39</f>
        <v>0</v>
      </c>
      <c r="J39" s="32">
        <f>'Expend - General'!K40+'Expend - Fabric'!K39+'Expend - FlowerFund'!K39+'Expend - SSchoolFund'!K39+'Expend - ReithMemorial'!K39+'Expend - SfSFund'!K39+'Expend - Guild'!K39+'Expend - Organ'!K39+'Expend - JrChurch'!K39+'Expend - Benevolent'!K39+'Expend - Friday'!K39</f>
        <v>0</v>
      </c>
      <c r="K39" s="32">
        <f>'Expend - General'!L40+'Expend - Fabric'!L39+'Expend - FlowerFund'!L39+'Expend - SSchoolFund'!L39+'Expend - ReithMemorial'!L39+'Expend - SfSFund'!L39+'Expend - Guild'!L39+'Expend - Organ'!L39+'Expend - JrChurch'!L39+'Expend - Benevolent'!L39+'Expend - Friday'!L39</f>
        <v>0</v>
      </c>
      <c r="L39" s="32">
        <f>'Expend - General'!M40+'Expend - Fabric'!M39+'Expend - FlowerFund'!M39+'Expend - SSchoolFund'!M39+'Expend - ReithMemorial'!M39+'Expend - SfSFund'!M39+'Expend - Guild'!M39+'Expend - Organ'!M39+'Expend - JrChurch'!M39+'Expend - Benevolent'!M39+'Expend - Friday'!M39</f>
        <v>0</v>
      </c>
      <c r="M39" s="32">
        <f>'Expend - General'!N40+'Expend - Fabric'!N39+'Expend - FlowerFund'!N39+'Expend - SSchoolFund'!N39+'Expend - ReithMemorial'!N39+'Expend - SfSFund'!N39+'Expend - Guild'!N39+'Expend - Organ'!N39+'Expend - JrChurch'!N39+'Expend - Benevolent'!N39+'Expend - Friday'!N39</f>
        <v>0</v>
      </c>
      <c r="N39" s="33">
        <f t="shared" si="13"/>
        <v>6003.0700000000006</v>
      </c>
      <c r="O39" s="36"/>
      <c r="P39" s="13">
        <f t="shared" si="2"/>
        <v>6003.0700000000006</v>
      </c>
      <c r="Q39" s="13"/>
      <c r="R39" s="13"/>
      <c r="S39" s="13"/>
      <c r="T39" s="13"/>
      <c r="U39" s="13"/>
      <c r="V39" s="13"/>
      <c r="W39" s="13">
        <f>SUM(P39:V39)</f>
        <v>6003.0700000000006</v>
      </c>
      <c r="Y39" s="127">
        <f>SUMIF('Expend - OverallBUD'!$C$4:$N$4,'Expend - Overall'!$Y$2,'Expend - OverallBUD'!$C39:$N39)</f>
        <v>4400</v>
      </c>
      <c r="Z39" s="33">
        <f>Y39-N39</f>
        <v>-1603.0700000000006</v>
      </c>
      <c r="AB39" s="127">
        <f>SUMIF('Expend - OverallPY'!$B$4:$M$4,'Expend - Overall'!$AB$2,'Expend - OverallPY'!$B39:$M39)</f>
        <v>4768.0599999999995</v>
      </c>
      <c r="AC39" s="32">
        <f>AB39-N39</f>
        <v>-1235.0100000000011</v>
      </c>
      <c r="AD39" s="192">
        <f>IF(ISERROR((AB39/N39)-1),"-",(AB39/N39)-1)</f>
        <v>-0.20572973495228286</v>
      </c>
      <c r="AE39" s="36"/>
    </row>
    <row r="40" spans="1:31" s="19" customFormat="1">
      <c r="A40" s="24" t="s">
        <v>116</v>
      </c>
      <c r="B40" s="36">
        <f>'Expend - General'!C41+'Expend - Fabric'!C40+'Expend - FlowerFund'!C40+'Expend - SSchoolFund'!C40+'Expend - ReithMemorial'!C40+'Expend - SfSFund'!C40+'Expend - Guild'!C40+'Expend - Organ'!C40+'Expend - JrChurch'!C40+'Expend - Benevolent'!C40+'Expend - Friday'!C40</f>
        <v>0</v>
      </c>
      <c r="C40" s="36">
        <f>'Expend - General'!D41+'Expend - Fabric'!D40+'Expend - FlowerFund'!D40+'Expend - SSchoolFund'!D40+'Expend - ReithMemorial'!D40+'Expend - SfSFund'!D40+'Expend - Guild'!D40+'Expend - Organ'!D40+'Expend - JrChurch'!D40+'Expend - Benevolent'!D40+'Expend - Friday'!D40</f>
        <v>0</v>
      </c>
      <c r="D40" s="36">
        <f>'Expend - General'!E41+'Expend - Fabric'!E40+'Expend - FlowerFund'!E40+'Expend - SSchoolFund'!E40+'Expend - ReithMemorial'!E40+'Expend - SfSFund'!E40+'Expend - Guild'!E40+'Expend - Organ'!E40+'Expend - JrChurch'!E40+'Expend - Benevolent'!E40+'Expend - Friday'!E40</f>
        <v>0</v>
      </c>
      <c r="E40" s="36">
        <f>'Expend - General'!F41+'Expend - Fabric'!F40+'Expend - FlowerFund'!F40+'Expend - SSchoolFund'!F40+'Expend - ReithMemorial'!F40+'Expend - SfSFund'!F40+'Expend - Guild'!F40+'Expend - Organ'!F40+'Expend - JrChurch'!F40+'Expend - Benevolent'!F40+'Expend - Friday'!F40</f>
        <v>0</v>
      </c>
      <c r="F40" s="36">
        <f>'Expend - General'!G41+'Expend - Fabric'!G40+'Expend - FlowerFund'!G40+'Expend - SSchoolFund'!G40+'Expend - ReithMemorial'!G40+'Expend - SfSFund'!G40+'Expend - Guild'!G40+'Expend - Organ'!G40+'Expend - JrChurch'!G40+'Expend - Benevolent'!G40+'Expend - Friday'!G40</f>
        <v>0</v>
      </c>
      <c r="G40" s="36">
        <f>'Expend - General'!H41+'Expend - Fabric'!H40+'Expend - FlowerFund'!H40+'Expend - SSchoolFund'!H40+'Expend - ReithMemorial'!H40+'Expend - SfSFund'!H40+'Expend - Guild'!H40+'Expend - Organ'!H40+'Expend - JrChurch'!H40+'Expend - Benevolent'!H40+'Expend - Friday'!H40</f>
        <v>0</v>
      </c>
      <c r="H40" s="36">
        <f>'Expend - General'!I41+'Expend - Fabric'!I40+'Expend - FlowerFund'!I40+'Expend - SSchoolFund'!I40+'Expend - ReithMemorial'!I40+'Expend - SfSFund'!I40+'Expend - Guild'!I40+'Expend - Organ'!I40+'Expend - JrChurch'!I40+'Expend - Benevolent'!I40+'Expend - Friday'!I40</f>
        <v>0</v>
      </c>
      <c r="I40" s="36">
        <f>'Expend - General'!J41+'Expend - Fabric'!J40+'Expend - FlowerFund'!J40+'Expend - SSchoolFund'!J40+'Expend - ReithMemorial'!J40+'Expend - SfSFund'!J40+'Expend - Guild'!J40+'Expend - Organ'!J40+'Expend - JrChurch'!J40+'Expend - Benevolent'!J40+'Expend - Friday'!J40</f>
        <v>0</v>
      </c>
      <c r="J40" s="36">
        <f>'Expend - General'!K41+'Expend - Fabric'!K40+'Expend - FlowerFund'!K40+'Expend - SSchoolFund'!K40+'Expend - ReithMemorial'!K40+'Expend - SfSFund'!K40+'Expend - Guild'!K40+'Expend - Organ'!K40+'Expend - JrChurch'!K40+'Expend - Benevolent'!K40+'Expend - Friday'!K40</f>
        <v>0</v>
      </c>
      <c r="K40" s="36">
        <f>'Expend - General'!L41+'Expend - Fabric'!L40+'Expend - FlowerFund'!L40+'Expend - SSchoolFund'!L40+'Expend - ReithMemorial'!L40+'Expend - SfSFund'!L40+'Expend - Guild'!L40+'Expend - Organ'!L40+'Expend - JrChurch'!L40+'Expend - Benevolent'!L40+'Expend - Friday'!L40</f>
        <v>0</v>
      </c>
      <c r="L40" s="36">
        <f>'Expend - General'!M41+'Expend - Fabric'!M40+'Expend - FlowerFund'!M40+'Expend - SSchoolFund'!M40+'Expend - ReithMemorial'!M40+'Expend - SfSFund'!M40+'Expend - Guild'!M40+'Expend - Organ'!M40+'Expend - JrChurch'!M40+'Expend - Benevolent'!M40+'Expend - Friday'!M40</f>
        <v>0</v>
      </c>
      <c r="M40" s="36">
        <f>'Expend - General'!N41+'Expend - Fabric'!N40+'Expend - FlowerFund'!N40+'Expend - SSchoolFund'!N40+'Expend - ReithMemorial'!N40+'Expend - SfSFund'!N40+'Expend - Guild'!N40+'Expend - Organ'!N40+'Expend - JrChurch'!N40+'Expend - Benevolent'!N40+'Expend - Friday'!N40</f>
        <v>0</v>
      </c>
      <c r="N40" s="37">
        <f>SUM(B40:M40)</f>
        <v>0</v>
      </c>
      <c r="O40" s="36"/>
      <c r="P40" s="13">
        <f t="shared" si="2"/>
        <v>0</v>
      </c>
      <c r="Q40" s="13"/>
      <c r="R40" s="13"/>
      <c r="S40" s="13"/>
      <c r="T40" s="13"/>
      <c r="U40" s="13"/>
      <c r="V40" s="13"/>
      <c r="W40" s="13">
        <f>SUM(P40:V40)</f>
        <v>0</v>
      </c>
      <c r="Y40" s="131">
        <f>SUMIF('Expend - OverallBUD'!$C$4:$N$4,'Expend - Overall'!$Y$2,'Expend - OverallBUD'!$C40:$N40)</f>
        <v>0</v>
      </c>
      <c r="Z40" s="37">
        <f>Y40-N40</f>
        <v>0</v>
      </c>
      <c r="AB40" s="131">
        <f>SUMIF('Expend - OverallPY'!$B$4:$M$4,'Expend - Overall'!$AB$2,'Expend - OverallPY'!$B40:$M40)</f>
        <v>0</v>
      </c>
      <c r="AC40" s="36">
        <f>AB40-N40</f>
        <v>0</v>
      </c>
      <c r="AD40" s="194" t="str">
        <f>IF(ISERROR((AB40/N40)-1),"-",(AB40/N40)-1)</f>
        <v>-</v>
      </c>
      <c r="AE40" s="36"/>
    </row>
    <row r="41" spans="1:31" s="19" customFormat="1">
      <c r="A41" s="22" t="s">
        <v>117</v>
      </c>
      <c r="B41" s="34">
        <f>'Expend - General'!C42+'Expend - Fabric'!C41+'Expend - FlowerFund'!C41+'Expend - SSchoolFund'!C41+'Expend - ReithMemorial'!C41+'Expend - SfSFund'!C41+'Expend - Guild'!C41+'Expend - Organ'!C41+'Expend - JrChurch'!C41+'Expend - Benevolent'!C41+'Expend - Friday'!C41</f>
        <v>592.13</v>
      </c>
      <c r="C41" s="34">
        <f>'Expend - General'!D42+'Expend - Fabric'!D41+'Expend - FlowerFund'!D41+'Expend - SSchoolFund'!D41+'Expend - ReithMemorial'!D41+'Expend - SfSFund'!D41+'Expend - Guild'!D41+'Expend - Organ'!D41+'Expend - JrChurch'!D41+'Expend - Benevolent'!D41+'Expend - Friday'!D41</f>
        <v>0</v>
      </c>
      <c r="D41" s="34">
        <f>'Expend - General'!E42+'Expend - Fabric'!E41+'Expend - FlowerFund'!E41+'Expend - SSchoolFund'!E41+'Expend - ReithMemorial'!E41+'Expend - SfSFund'!E41+'Expend - Guild'!E41+'Expend - Organ'!E41+'Expend - JrChurch'!E41+'Expend - Benevolent'!E41+'Expend - Friday'!E41</f>
        <v>1184.26</v>
      </c>
      <c r="E41" s="34">
        <f>'Expend - General'!F42+'Expend - Fabric'!F41+'Expend - FlowerFund'!F41+'Expend - SSchoolFund'!F41+'Expend - ReithMemorial'!F41+'Expend - SfSFund'!F41+'Expend - Guild'!F41+'Expend - Organ'!F41+'Expend - JrChurch'!F41+'Expend - Benevolent'!F41+'Expend - Friday'!F41</f>
        <v>592.13</v>
      </c>
      <c r="F41" s="34">
        <f>'Expend - General'!G42+'Expend - Fabric'!G41+'Expend - FlowerFund'!G41+'Expend - SSchoolFund'!G41+'Expend - ReithMemorial'!G41+'Expend - SfSFund'!G41+'Expend - Guild'!G41+'Expend - Organ'!G41+'Expend - JrChurch'!G41+'Expend - Benevolent'!G41+'Expend - Friday'!G41</f>
        <v>592.13</v>
      </c>
      <c r="G41" s="34">
        <f>'Expend - General'!H42+'Expend - Fabric'!H41+'Expend - FlowerFund'!H41+'Expend - SSchoolFund'!H41+'Expend - ReithMemorial'!H41+'Expend - SfSFund'!H41+'Expend - Guild'!H41+'Expend - Organ'!H41+'Expend - JrChurch'!H41+'Expend - Benevolent'!H41+'Expend - Friday'!H41</f>
        <v>0</v>
      </c>
      <c r="H41" s="34">
        <f>'Expend - General'!I42+'Expend - Fabric'!I41+'Expend - FlowerFund'!I41+'Expend - SSchoolFund'!I41+'Expend - ReithMemorial'!I41+'Expend - SfSFund'!I41+'Expend - Guild'!I41+'Expend - Organ'!I41+'Expend - JrChurch'!I41+'Expend - Benevolent'!I41+'Expend - Friday'!I41</f>
        <v>0</v>
      </c>
      <c r="I41" s="34">
        <f>'Expend - General'!J42+'Expend - Fabric'!J41+'Expend - FlowerFund'!J41+'Expend - SSchoolFund'!J41+'Expend - ReithMemorial'!J41+'Expend - SfSFund'!J41+'Expend - Guild'!J41+'Expend - Organ'!J41+'Expend - JrChurch'!J41+'Expend - Benevolent'!J41+'Expend - Friday'!J41</f>
        <v>0</v>
      </c>
      <c r="J41" s="34">
        <f>'Expend - General'!K42+'Expend - Fabric'!K41+'Expend - FlowerFund'!K41+'Expend - SSchoolFund'!K41+'Expend - ReithMemorial'!K41+'Expend - SfSFund'!K41+'Expend - Guild'!K41+'Expend - Organ'!K41+'Expend - JrChurch'!K41+'Expend - Benevolent'!K41+'Expend - Friday'!K41</f>
        <v>0</v>
      </c>
      <c r="K41" s="34">
        <f>'Expend - General'!L42+'Expend - Fabric'!L41+'Expend - FlowerFund'!L41+'Expend - SSchoolFund'!L41+'Expend - ReithMemorial'!L41+'Expend - SfSFund'!L41+'Expend - Guild'!L41+'Expend - Organ'!L41+'Expend - JrChurch'!L41+'Expend - Benevolent'!L41+'Expend - Friday'!L41</f>
        <v>0</v>
      </c>
      <c r="L41" s="34">
        <f>'Expend - General'!M42+'Expend - Fabric'!M41+'Expend - FlowerFund'!M41+'Expend - SSchoolFund'!M41+'Expend - ReithMemorial'!M41+'Expend - SfSFund'!M41+'Expend - Guild'!M41+'Expend - Organ'!M41+'Expend - JrChurch'!M41+'Expend - Benevolent'!M41+'Expend - Friday'!M41</f>
        <v>0</v>
      </c>
      <c r="M41" s="34">
        <f>'Expend - General'!N42+'Expend - Fabric'!N41+'Expend - FlowerFund'!N41+'Expend - SSchoolFund'!N41+'Expend - ReithMemorial'!N41+'Expend - SfSFund'!N41+'Expend - Guild'!N41+'Expend - Organ'!N41+'Expend - JrChurch'!N41+'Expend - Benevolent'!N41+'Expend - Friday'!N41</f>
        <v>0</v>
      </c>
      <c r="N41" s="35">
        <f t="shared" si="13"/>
        <v>2960.65</v>
      </c>
      <c r="O41" s="36"/>
      <c r="P41" s="13">
        <f t="shared" si="2"/>
        <v>2960.65</v>
      </c>
      <c r="Q41" s="13"/>
      <c r="R41" s="13"/>
      <c r="S41" s="13"/>
      <c r="T41" s="13"/>
      <c r="U41" s="13"/>
      <c r="V41" s="13"/>
      <c r="W41" s="13">
        <f>SUM(P41:V41)</f>
        <v>2960.65</v>
      </c>
      <c r="Y41" s="129">
        <f>SUMIF('Expend - OverallBUD'!$C$4:$N$4,'Expend - Overall'!$Y$2,'Expend - OverallBUD'!$C41:$N41)</f>
        <v>2960</v>
      </c>
      <c r="Z41" s="35">
        <f>Y41-N41</f>
        <v>-0.65000000000009095</v>
      </c>
      <c r="AB41" s="129">
        <f>SUMIF('Expend - OverallPY'!$B$4:$M$4,'Expend - Overall'!$AB$2,'Expend - OverallPY'!$B41:$M41)</f>
        <v>2690.7999999999997</v>
      </c>
      <c r="AC41" s="34">
        <f>AB41-N41</f>
        <v>-269.85000000000036</v>
      </c>
      <c r="AD41" s="193">
        <f>IF(ISERROR((AB41/N41)-1),"-",(AB41/N41)-1)</f>
        <v>-9.1145525475824662E-2</v>
      </c>
      <c r="AE41" s="36"/>
    </row>
    <row r="42" spans="1:31" s="19" customFormat="1">
      <c r="A42" s="38"/>
      <c r="B42" s="36"/>
      <c r="C42" s="36"/>
      <c r="D42" s="36"/>
      <c r="E42" s="36"/>
      <c r="F42" s="36"/>
      <c r="G42" s="36"/>
      <c r="H42" s="36"/>
      <c r="I42" s="36"/>
      <c r="J42" s="36"/>
      <c r="K42" s="36"/>
      <c r="L42" s="36"/>
      <c r="M42" s="36"/>
      <c r="N42" s="36"/>
      <c r="O42" s="36"/>
      <c r="P42" s="13"/>
      <c r="Q42" s="13"/>
      <c r="R42" s="13"/>
      <c r="S42" s="13"/>
      <c r="T42" s="13"/>
      <c r="U42" s="13"/>
      <c r="V42" s="13"/>
      <c r="W42" s="13"/>
      <c r="Y42" s="36"/>
      <c r="Z42" s="36"/>
      <c r="AB42" s="36"/>
      <c r="AE42" s="36"/>
    </row>
    <row r="43" spans="1:31">
      <c r="A43" s="15" t="s">
        <v>118</v>
      </c>
      <c r="B43" s="13">
        <f>SUM(B44:B45)</f>
        <v>163.14000000000001</v>
      </c>
      <c r="C43" s="13">
        <f t="shared" ref="C43:O43" si="15">SUM(C44:C45)</f>
        <v>142.72</v>
      </c>
      <c r="D43" s="13">
        <f t="shared" si="15"/>
        <v>59.58</v>
      </c>
      <c r="E43" s="13">
        <f t="shared" si="15"/>
        <v>93.759999999999991</v>
      </c>
      <c r="F43" s="13">
        <f t="shared" si="15"/>
        <v>74.61</v>
      </c>
      <c r="G43" s="13">
        <f t="shared" si="15"/>
        <v>0</v>
      </c>
      <c r="H43" s="13">
        <f t="shared" si="15"/>
        <v>0</v>
      </c>
      <c r="I43" s="13">
        <f t="shared" si="15"/>
        <v>0</v>
      </c>
      <c r="J43" s="13">
        <f t="shared" si="15"/>
        <v>0</v>
      </c>
      <c r="K43" s="13">
        <f t="shared" si="15"/>
        <v>0</v>
      </c>
      <c r="L43" s="13">
        <f t="shared" si="15"/>
        <v>0</v>
      </c>
      <c r="M43" s="13">
        <f t="shared" si="15"/>
        <v>0</v>
      </c>
      <c r="N43" s="13">
        <f t="shared" si="13"/>
        <v>533.80999999999995</v>
      </c>
      <c r="O43" s="13">
        <f t="shared" si="15"/>
        <v>0</v>
      </c>
      <c r="P43" s="13">
        <f t="shared" si="2"/>
        <v>533.80999999999995</v>
      </c>
      <c r="Q43" s="13"/>
      <c r="R43" s="13"/>
      <c r="S43" s="13"/>
      <c r="T43" s="13"/>
      <c r="U43" s="13"/>
      <c r="V43" s="13"/>
      <c r="W43" s="13">
        <f>SUM(P43:V43)</f>
        <v>533.80999999999995</v>
      </c>
      <c r="Y43" s="13">
        <f>SUM(Y44:Y45)</f>
        <v>560</v>
      </c>
      <c r="Z43" s="13">
        <f>SUM(Z44:Z45)</f>
        <v>26.189999999999969</v>
      </c>
      <c r="AB43" s="13">
        <f>SUM(AB44:AB45)</f>
        <v>574.70000000000005</v>
      </c>
      <c r="AC43" s="13">
        <f>AB43-N43</f>
        <v>40.8900000000001</v>
      </c>
      <c r="AD43" s="190">
        <f>IF(ISERROR((AB43/N43)-1),"-",(AB43/N43)-1)</f>
        <v>7.6600288492160384E-2</v>
      </c>
      <c r="AE43" s="13"/>
    </row>
    <row r="44" spans="1:31" s="19" customFormat="1">
      <c r="A44" s="20" t="s">
        <v>119</v>
      </c>
      <c r="B44" s="32">
        <f>'Expend - General'!C45+'Expend - Fabric'!C44+'Expend - FlowerFund'!C44+'Expend - SSchoolFund'!C44+'Expend - ReithMemorial'!C44+'Expend - SfSFund'!C44+'Expend - Guild'!C44+'Expend - Organ'!C44+'Expend - JrChurch'!C44+'Expend - Benevolent'!C44+'Expend - Friday'!C44</f>
        <v>59.96</v>
      </c>
      <c r="C44" s="32">
        <f>'Expend - General'!D45+'Expend - Fabric'!D44+'Expend - FlowerFund'!D44+'Expend - SSchoolFund'!D44+'Expend - ReithMemorial'!D44+'Expend - SfSFund'!D44+'Expend - Guild'!D44+'Expend - Organ'!D44+'Expend - JrChurch'!D44+'Expend - Benevolent'!D44+'Expend - Friday'!D44</f>
        <v>64.5</v>
      </c>
      <c r="D44" s="32">
        <f>'Expend - General'!E45+'Expend - Fabric'!E44+'Expend - FlowerFund'!E44+'Expend - SSchoolFund'!E44+'Expend - ReithMemorial'!E44+'Expend - SfSFund'!E44+'Expend - Guild'!E44+'Expend - Organ'!E44+'Expend - JrChurch'!E44+'Expend - Benevolent'!E44+'Expend - Friday'!E44</f>
        <v>59.58</v>
      </c>
      <c r="E44" s="32">
        <f>'Expend - General'!F45+'Expend - Fabric'!F44+'Expend - FlowerFund'!F44+'Expend - SSchoolFund'!F44+'Expend - ReithMemorial'!F44+'Expend - SfSFund'!F44+'Expend - Guild'!F44+'Expend - Organ'!F44+'Expend - JrChurch'!F44+'Expend - Benevolent'!F44+'Expend - Friday'!F44</f>
        <v>74.27</v>
      </c>
      <c r="F44" s="32">
        <f>'Expend - General'!G45+'Expend - Fabric'!G44+'Expend - FlowerFund'!G44+'Expend - SSchoolFund'!G44+'Expend - ReithMemorial'!G44+'Expend - SfSFund'!G44+'Expend - Guild'!G44+'Expend - Organ'!G44+'Expend - JrChurch'!G44+'Expend - Benevolent'!G44+'Expend - Friday'!G44</f>
        <v>64.61</v>
      </c>
      <c r="G44" s="32">
        <f>'Expend - General'!H45+'Expend - Fabric'!H44+'Expend - FlowerFund'!H44+'Expend - SSchoolFund'!H44+'Expend - ReithMemorial'!H44+'Expend - SfSFund'!H44+'Expend - Guild'!H44+'Expend - Organ'!H44+'Expend - JrChurch'!H44+'Expend - Benevolent'!H44+'Expend - Friday'!H44</f>
        <v>0</v>
      </c>
      <c r="H44" s="32">
        <f>'Expend - General'!I45+'Expend - Fabric'!I44+'Expend - FlowerFund'!I44+'Expend - SSchoolFund'!I44+'Expend - ReithMemorial'!I44+'Expend - SfSFund'!I44+'Expend - Guild'!I44+'Expend - Organ'!I44+'Expend - JrChurch'!I44+'Expend - Benevolent'!I44+'Expend - Friday'!I44</f>
        <v>0</v>
      </c>
      <c r="I44" s="32">
        <f>'Expend - General'!J45+'Expend - Fabric'!J44+'Expend - FlowerFund'!J44+'Expend - SSchoolFund'!J44+'Expend - ReithMemorial'!J44+'Expend - SfSFund'!J44+'Expend - Guild'!J44+'Expend - Organ'!J44+'Expend - JrChurch'!J44+'Expend - Benevolent'!J44+'Expend - Friday'!J44</f>
        <v>0</v>
      </c>
      <c r="J44" s="32">
        <f>'Expend - General'!K45+'Expend - Fabric'!K44+'Expend - FlowerFund'!K44+'Expend - SSchoolFund'!K44+'Expend - ReithMemorial'!K44+'Expend - SfSFund'!K44+'Expend - Guild'!K44+'Expend - Organ'!K44+'Expend - JrChurch'!K44+'Expend - Benevolent'!K44+'Expend - Friday'!K44</f>
        <v>0</v>
      </c>
      <c r="K44" s="32">
        <f>'Expend - General'!L45+'Expend - Fabric'!L44+'Expend - FlowerFund'!L44+'Expend - SSchoolFund'!L44+'Expend - ReithMemorial'!L44+'Expend - SfSFund'!L44+'Expend - Guild'!L44+'Expend - Organ'!L44+'Expend - JrChurch'!L44+'Expend - Benevolent'!L44+'Expend - Friday'!L44</f>
        <v>0</v>
      </c>
      <c r="L44" s="32">
        <f>'Expend - General'!M45+'Expend - Fabric'!M44+'Expend - FlowerFund'!M44+'Expend - SSchoolFund'!M44+'Expend - ReithMemorial'!M44+'Expend - SfSFund'!M44+'Expend - Guild'!M44+'Expend - Organ'!M44+'Expend - JrChurch'!M44+'Expend - Benevolent'!M44+'Expend - Friday'!M44</f>
        <v>0</v>
      </c>
      <c r="M44" s="32">
        <f>'Expend - General'!N45+'Expend - Fabric'!N44+'Expend - FlowerFund'!N44+'Expend - SSchoolFund'!N44+'Expend - ReithMemorial'!N44+'Expend - SfSFund'!N44+'Expend - Guild'!N44+'Expend - Organ'!N44+'Expend - JrChurch'!N44+'Expend - Benevolent'!N44+'Expend - Friday'!N44</f>
        <v>0</v>
      </c>
      <c r="N44" s="33">
        <f t="shared" si="13"/>
        <v>322.92</v>
      </c>
      <c r="O44" s="36"/>
      <c r="P44" s="13">
        <f t="shared" si="2"/>
        <v>322.92</v>
      </c>
      <c r="Q44" s="13"/>
      <c r="R44" s="13"/>
      <c r="S44" s="13"/>
      <c r="T44" s="13"/>
      <c r="U44" s="13"/>
      <c r="V44" s="13"/>
      <c r="W44" s="13">
        <f>SUM(P44:V44)</f>
        <v>322.92</v>
      </c>
      <c r="Y44" s="127">
        <f>SUMIF('Expend - OverallBUD'!$C$4:$N$4,'Expend - Overall'!$Y$2,'Expend - OverallBUD'!$C44:$N44)</f>
        <v>310</v>
      </c>
      <c r="Z44" s="33">
        <f>Y44-N44</f>
        <v>-12.920000000000016</v>
      </c>
      <c r="AB44" s="127">
        <f>SUMIF('Expend - OverallPY'!$B$4:$M$4,'Expend - Overall'!$AB$2,'Expend - OverallPY'!$B44:$M44)</f>
        <v>307</v>
      </c>
      <c r="AC44" s="32">
        <f>AB44-N44</f>
        <v>-15.920000000000016</v>
      </c>
      <c r="AD44" s="192">
        <f>IF(ISERROR((AB44/N44)-1),"-",(AB44/N44)-1)</f>
        <v>-4.9300136256658078E-2</v>
      </c>
      <c r="AE44" s="36"/>
    </row>
    <row r="45" spans="1:31" s="19" customFormat="1">
      <c r="A45" s="22" t="s">
        <v>120</v>
      </c>
      <c r="B45" s="34">
        <f>'Expend - General'!C46+'Expend - Fabric'!C45+'Expend - FlowerFund'!C45+'Expend - SSchoolFund'!C45+'Expend - ReithMemorial'!C45+'Expend - SfSFund'!C45+'Expend - Guild'!C45+'Expend - Organ'!C45+'Expend - JrChurch'!C45+'Expend - Benevolent'!C45+'Expend - Friday'!C45</f>
        <v>103.18</v>
      </c>
      <c r="C45" s="34">
        <f>'Expend - General'!D46+'Expend - Fabric'!D45+'Expend - FlowerFund'!D45+'Expend - SSchoolFund'!D45+'Expend - ReithMemorial'!D45+'Expend - SfSFund'!D45+'Expend - Guild'!D45+'Expend - Organ'!D45+'Expend - JrChurch'!D45+'Expend - Benevolent'!D45+'Expend - Friday'!D45</f>
        <v>78.22</v>
      </c>
      <c r="D45" s="34">
        <f>'Expend - General'!E46+'Expend - Fabric'!E45+'Expend - FlowerFund'!E45+'Expend - SSchoolFund'!E45+'Expend - ReithMemorial'!E45+'Expend - SfSFund'!E45+'Expend - Guild'!E45+'Expend - Organ'!E45+'Expend - JrChurch'!E45+'Expend - Benevolent'!E45+'Expend - Friday'!E45</f>
        <v>0</v>
      </c>
      <c r="E45" s="34">
        <f>'Expend - General'!F46+'Expend - Fabric'!F45+'Expend - FlowerFund'!F45+'Expend - SSchoolFund'!F45+'Expend - ReithMemorial'!F45+'Expend - SfSFund'!F45+'Expend - Guild'!F45+'Expend - Organ'!F45+'Expend - JrChurch'!F45+'Expend - Benevolent'!F45+'Expend - Friday'!F45</f>
        <v>19.489999999999998</v>
      </c>
      <c r="F45" s="34">
        <f>'Expend - General'!G46+'Expend - Fabric'!G45+'Expend - FlowerFund'!G45+'Expend - SSchoolFund'!G45+'Expend - ReithMemorial'!G45+'Expend - SfSFund'!G45+'Expend - Guild'!G45+'Expend - Organ'!G45+'Expend - JrChurch'!G45+'Expend - Benevolent'!G45+'Expend - Friday'!G45</f>
        <v>10</v>
      </c>
      <c r="G45" s="34">
        <f>'Expend - General'!H46+'Expend - Fabric'!H45+'Expend - FlowerFund'!H45+'Expend - SSchoolFund'!H45+'Expend - ReithMemorial'!H45+'Expend - SfSFund'!H45+'Expend - Guild'!H45+'Expend - Organ'!H45+'Expend - JrChurch'!H45+'Expend - Benevolent'!H45+'Expend - Friday'!H45</f>
        <v>0</v>
      </c>
      <c r="H45" s="34">
        <f>'Expend - General'!I46+'Expend - Fabric'!I45+'Expend - FlowerFund'!I45+'Expend - SSchoolFund'!I45+'Expend - ReithMemorial'!I45+'Expend - SfSFund'!I45+'Expend - Guild'!I45+'Expend - Organ'!I45+'Expend - JrChurch'!I45+'Expend - Benevolent'!I45+'Expend - Friday'!I45</f>
        <v>0</v>
      </c>
      <c r="I45" s="34">
        <f>'Expend - General'!J46+'Expend - Fabric'!J45+'Expend - FlowerFund'!J45+'Expend - SSchoolFund'!J45+'Expend - ReithMemorial'!J45+'Expend - SfSFund'!J45+'Expend - Guild'!J45+'Expend - Organ'!J45+'Expend - JrChurch'!J45+'Expend - Benevolent'!J45+'Expend - Friday'!J45</f>
        <v>0</v>
      </c>
      <c r="J45" s="34">
        <f>'Expend - General'!K46+'Expend - Fabric'!K45+'Expend - FlowerFund'!K45+'Expend - SSchoolFund'!K45+'Expend - ReithMemorial'!K45+'Expend - SfSFund'!K45+'Expend - Guild'!K45+'Expend - Organ'!K45+'Expend - JrChurch'!K45+'Expend - Benevolent'!K45+'Expend - Friday'!K45</f>
        <v>0</v>
      </c>
      <c r="K45" s="34">
        <f>'Expend - General'!L46+'Expend - Fabric'!L45+'Expend - FlowerFund'!L45+'Expend - SSchoolFund'!L45+'Expend - ReithMemorial'!L45+'Expend - SfSFund'!L45+'Expend - Guild'!L45+'Expend - Organ'!L45+'Expend - JrChurch'!L45+'Expend - Benevolent'!L45+'Expend - Friday'!L45</f>
        <v>0</v>
      </c>
      <c r="L45" s="34">
        <f>'Expend - General'!M46+'Expend - Fabric'!M45+'Expend - FlowerFund'!M45+'Expend - SSchoolFund'!M45+'Expend - ReithMemorial'!M45+'Expend - SfSFund'!M45+'Expend - Guild'!M45+'Expend - Organ'!M45+'Expend - JrChurch'!M45+'Expend - Benevolent'!M45+'Expend - Friday'!M45</f>
        <v>0</v>
      </c>
      <c r="M45" s="34">
        <f>'Expend - General'!N46+'Expend - Fabric'!N45+'Expend - FlowerFund'!N45+'Expend - SSchoolFund'!N45+'Expend - ReithMemorial'!N45+'Expend - SfSFund'!N45+'Expend - Guild'!N45+'Expend - Organ'!N45+'Expend - JrChurch'!N45+'Expend - Benevolent'!N45+'Expend - Friday'!N45</f>
        <v>0</v>
      </c>
      <c r="N45" s="35">
        <f t="shared" si="13"/>
        <v>210.89000000000001</v>
      </c>
      <c r="O45" s="36"/>
      <c r="P45" s="13">
        <f t="shared" si="2"/>
        <v>210.89000000000001</v>
      </c>
      <c r="Q45" s="13"/>
      <c r="R45" s="13"/>
      <c r="S45" s="13"/>
      <c r="T45" s="13"/>
      <c r="U45" s="13"/>
      <c r="V45" s="13"/>
      <c r="W45" s="13">
        <f>SUM(P45:V45)</f>
        <v>210.89000000000001</v>
      </c>
      <c r="Y45" s="129">
        <f>SUMIF('Expend - OverallBUD'!$C$4:$N$4,'Expend - Overall'!$Y$2,'Expend - OverallBUD'!$C45:$N45)</f>
        <v>250</v>
      </c>
      <c r="Z45" s="35">
        <f>Y45-N45</f>
        <v>39.109999999999985</v>
      </c>
      <c r="AB45" s="129">
        <f>SUMIF('Expend - OverallPY'!$B$4:$M$4,'Expend - Overall'!$AB$2,'Expend - OverallPY'!$B45:$M45)</f>
        <v>267.7</v>
      </c>
      <c r="AC45" s="34">
        <f>AB45-N45</f>
        <v>56.809999999999974</v>
      </c>
      <c r="AD45" s="193">
        <f>IF(ISERROR((AB45/N45)-1),"-",(AB45/N45)-1)</f>
        <v>0.26938214234909186</v>
      </c>
      <c r="AE45" s="36"/>
    </row>
    <row r="46" spans="1:31" s="19" customFormat="1">
      <c r="A46" s="38"/>
      <c r="B46" s="36"/>
      <c r="C46" s="36"/>
      <c r="D46" s="36"/>
      <c r="E46" s="36"/>
      <c r="F46" s="36"/>
      <c r="G46" s="36"/>
      <c r="H46" s="36"/>
      <c r="I46" s="36"/>
      <c r="J46" s="36"/>
      <c r="K46" s="36"/>
      <c r="L46" s="36"/>
      <c r="M46" s="36"/>
      <c r="N46" s="36"/>
      <c r="O46" s="36"/>
      <c r="P46" s="13"/>
      <c r="Q46" s="13"/>
      <c r="R46" s="13"/>
      <c r="S46" s="13"/>
      <c r="T46" s="13"/>
      <c r="U46" s="13"/>
      <c r="V46" s="13"/>
      <c r="W46" s="13"/>
      <c r="Y46" s="36"/>
      <c r="Z46" s="36"/>
      <c r="AB46" s="36"/>
      <c r="AE46" s="36"/>
    </row>
    <row r="47" spans="1:31">
      <c r="A47" s="15" t="s">
        <v>121</v>
      </c>
      <c r="B47" s="13">
        <f>'Expend - General'!C48+'Expend - Fabric'!C47+'Expend - FlowerFund'!C47+'Expend - SSchoolFund'!C47+'Expend - ReithMemorial'!C47+'Expend - SfSFund'!C47+'Expend - Guild'!C47+'Expend - Organ'!C47+'Expend - JrChurch'!C47+'Expend - Benevolent'!C47+'Expend - Friday'!C47</f>
        <v>-747.94</v>
      </c>
      <c r="C47" s="13">
        <f>'Expend - General'!D48+'Expend - Fabric'!D47+'Expend - FlowerFund'!D47+'Expend - SSchoolFund'!D47+'Expend - ReithMemorial'!D47+'Expend - SfSFund'!D47+'Expend - Guild'!D47+'Expend - Organ'!D47+'Expend - JrChurch'!D47+'Expend - Benevolent'!D47+'Expend - Friday'!D47</f>
        <v>-931.76</v>
      </c>
      <c r="D47" s="13">
        <f>'Expend - General'!E48+'Expend - Fabric'!E47+'Expend - FlowerFund'!E47+'Expend - SSchoolFund'!E47+'Expend - ReithMemorial'!E47+'Expend - SfSFund'!E47+'Expend - Guild'!E47+'Expend - Organ'!E47+'Expend - JrChurch'!E47+'Expend - Benevolent'!E47+'Expend - Friday'!E47</f>
        <v>649.69000000000005</v>
      </c>
      <c r="E47" s="13">
        <f>'Expend - General'!F48+'Expend - Fabric'!F47+'Expend - FlowerFund'!F47+'Expend - SSchoolFund'!F47+'Expend - ReithMemorial'!F47+'Expend - SfSFund'!F47+'Expend - Guild'!F47+'Expend - Organ'!F47+'Expend - JrChurch'!F47+'Expend - Benevolent'!F47+'Expend - Friday'!F47</f>
        <v>2858.26</v>
      </c>
      <c r="F47" s="13">
        <f>'Expend - General'!G48+'Expend - Fabric'!G47+'Expend - FlowerFund'!G47+'Expend - SSchoolFund'!G47+'Expend - ReithMemorial'!G47+'Expend - SfSFund'!G47+'Expend - Guild'!G47+'Expend - Organ'!G47+'Expend - JrChurch'!G47+'Expend - Benevolent'!G47+'Expend - Friday'!G47</f>
        <v>373.44</v>
      </c>
      <c r="G47" s="13">
        <f>'Expend - General'!H48+'Expend - Fabric'!H47+'Expend - FlowerFund'!H47+'Expend - SSchoolFund'!H47+'Expend - ReithMemorial'!H47+'Expend - SfSFund'!H47+'Expend - Guild'!H47+'Expend - Organ'!H47+'Expend - JrChurch'!H47+'Expend - Benevolent'!H47+'Expend - Friday'!H47</f>
        <v>0</v>
      </c>
      <c r="H47" s="13">
        <f>'Expend - General'!I48+'Expend - Fabric'!I47+'Expend - FlowerFund'!I47+'Expend - SSchoolFund'!I47+'Expend - ReithMemorial'!I47+'Expend - SfSFund'!I47+'Expend - Guild'!I47+'Expend - Organ'!I47+'Expend - JrChurch'!I47+'Expend - Benevolent'!I47+'Expend - Friday'!I47</f>
        <v>0</v>
      </c>
      <c r="I47" s="13">
        <f>'Expend - General'!J48+'Expend - Fabric'!J47+'Expend - FlowerFund'!J47+'Expend - SSchoolFund'!J47+'Expend - ReithMemorial'!J47+'Expend - SfSFund'!J47+'Expend - Guild'!J47+'Expend - Organ'!J47+'Expend - JrChurch'!J47+'Expend - Benevolent'!J47+'Expend - Friday'!J47</f>
        <v>0</v>
      </c>
      <c r="J47" s="13">
        <f>'Expend - General'!K48+'Expend - Fabric'!K47+'Expend - FlowerFund'!K47+'Expend - SSchoolFund'!K47+'Expend - ReithMemorial'!K47+'Expend - SfSFund'!K47+'Expend - Guild'!K47+'Expend - Organ'!K47+'Expend - JrChurch'!K47+'Expend - Benevolent'!K47+'Expend - Friday'!K47</f>
        <v>0</v>
      </c>
      <c r="K47" s="13">
        <f>'Expend - General'!L48+'Expend - Fabric'!L47+'Expend - FlowerFund'!L47+'Expend - SSchoolFund'!L47+'Expend - ReithMemorial'!L47+'Expend - SfSFund'!L47+'Expend - Guild'!L47+'Expend - Organ'!L47+'Expend - JrChurch'!L47+'Expend - Benevolent'!L47+'Expend - Friday'!L47</f>
        <v>0</v>
      </c>
      <c r="L47" s="13">
        <f>'Expend - General'!M48+'Expend - Fabric'!M47+'Expend - FlowerFund'!M47+'Expend - SSchoolFund'!M47+'Expend - ReithMemorial'!M47+'Expend - SfSFund'!M47+'Expend - Guild'!M47+'Expend - Organ'!M47+'Expend - JrChurch'!M47+'Expend - Benevolent'!M47+'Expend - Friday'!M47</f>
        <v>0</v>
      </c>
      <c r="M47" s="13">
        <f>'Expend - General'!N48+'Expend - Fabric'!N47+'Expend - FlowerFund'!N47+'Expend - SSchoolFund'!N47+'Expend - ReithMemorial'!N47+'Expend - SfSFund'!N47+'Expend - Guild'!N47+'Expend - Organ'!N47+'Expend - JrChurch'!N47+'Expend - Benevolent'!N47+'Expend - Friday'!N47</f>
        <v>0</v>
      </c>
      <c r="N47" s="13">
        <f t="shared" si="13"/>
        <v>2201.69</v>
      </c>
      <c r="O47" s="13"/>
      <c r="P47" s="13">
        <f t="shared" si="2"/>
        <v>2201.69</v>
      </c>
      <c r="Q47" s="13"/>
      <c r="R47" s="13"/>
      <c r="S47" s="13"/>
      <c r="T47" s="13"/>
      <c r="U47" s="13"/>
      <c r="V47" s="13"/>
      <c r="W47" s="13">
        <f>SUM(P47:V47)</f>
        <v>2201.69</v>
      </c>
      <c r="Y47" s="13">
        <f>SUMIF('Expend - OverallBUD'!$C$4:$N$4,'Expend - Overall'!$Y$2,'Expend - OverallBUD'!$C47:$N47)</f>
        <v>1500</v>
      </c>
      <c r="Z47" s="13">
        <f>Y47-N47</f>
        <v>-701.69</v>
      </c>
      <c r="AB47" s="13">
        <f>SUMIF('Expend - OverallPY'!$B$4:$M$4,'Expend - Overall'!$AB$2,'Expend - OverallPY'!$B47:$M47)</f>
        <v>2820.1800000000003</v>
      </c>
      <c r="AC47" s="13">
        <f>AB47-N47</f>
        <v>618.49000000000024</v>
      </c>
      <c r="AD47" s="190">
        <f>IF(ISERROR((AB47/N47)-1),"-",(AB47/N47)-1)</f>
        <v>0.28091602360005274</v>
      </c>
      <c r="AE47" s="13"/>
    </row>
    <row r="48" spans="1:31">
      <c r="A48" s="15" t="s">
        <v>122</v>
      </c>
      <c r="B48" s="13">
        <f>SUM(B49:B51)</f>
        <v>683.49</v>
      </c>
      <c r="C48" s="13">
        <f t="shared" ref="C48:M48" si="16">SUM(C49:C51)</f>
        <v>190.38</v>
      </c>
      <c r="D48" s="13">
        <f t="shared" si="16"/>
        <v>750.9</v>
      </c>
      <c r="E48" s="13">
        <f t="shared" si="16"/>
        <v>12.5</v>
      </c>
      <c r="F48" s="13">
        <f t="shared" si="16"/>
        <v>12.5</v>
      </c>
      <c r="G48" s="13">
        <f t="shared" si="16"/>
        <v>0</v>
      </c>
      <c r="H48" s="13">
        <f t="shared" si="16"/>
        <v>0</v>
      </c>
      <c r="I48" s="13">
        <f t="shared" si="16"/>
        <v>0</v>
      </c>
      <c r="J48" s="13">
        <f t="shared" si="16"/>
        <v>0</v>
      </c>
      <c r="K48" s="13">
        <f t="shared" si="16"/>
        <v>0</v>
      </c>
      <c r="L48" s="13">
        <f t="shared" si="16"/>
        <v>0</v>
      </c>
      <c r="M48" s="13">
        <f t="shared" si="16"/>
        <v>0</v>
      </c>
      <c r="N48" s="13">
        <f t="shared" si="13"/>
        <v>1649.77</v>
      </c>
      <c r="O48" s="13">
        <f>SUM(O49:O51)</f>
        <v>0</v>
      </c>
      <c r="P48" s="13">
        <f t="shared" si="2"/>
        <v>1649.77</v>
      </c>
      <c r="Q48" s="13"/>
      <c r="R48" s="13"/>
      <c r="S48" s="13"/>
      <c r="T48" s="13"/>
      <c r="U48" s="13"/>
      <c r="V48" s="13"/>
      <c r="W48" s="13">
        <f>SUM(P48:V48)</f>
        <v>1649.77</v>
      </c>
      <c r="Y48" s="13">
        <f>SUM(Y49:Y51)</f>
        <v>1900</v>
      </c>
      <c r="Z48" s="13">
        <f>SUM(Z49:Z51)</f>
        <v>250.23000000000002</v>
      </c>
      <c r="AB48" s="13">
        <f>SUM(AB49:AB51)</f>
        <v>6080.2900000000009</v>
      </c>
      <c r="AC48" s="13">
        <f>AB48-N48</f>
        <v>4430.5200000000004</v>
      </c>
      <c r="AD48" s="190">
        <f>IF(ISERROR((AB48/N48)-1),"-",(AB48/N48)-1)</f>
        <v>2.6855379840826301</v>
      </c>
      <c r="AE48" s="13"/>
    </row>
    <row r="49" spans="1:31" s="19" customFormat="1">
      <c r="A49" s="20" t="s">
        <v>123</v>
      </c>
      <c r="B49" s="32">
        <f>'Expend - General'!C50+'Expend - Fabric'!C49+'Expend - FlowerFund'!C49+'Expend - SSchoolFund'!C49+'Expend - ReithMemorial'!C49+'Expend - SfSFund'!C49+'Expend - Guild'!C49+'Expend - Organ'!C49+'Expend - JrChurch'!C49+'Expend - Benevolent'!C49+'Expend - Friday'!C49</f>
        <v>0</v>
      </c>
      <c r="C49" s="32">
        <f>'Expend - General'!D50+'Expend - Fabric'!D49+'Expend - FlowerFund'!D49+'Expend - SSchoolFund'!D49+'Expend - ReithMemorial'!D49+'Expend - SfSFund'!D49+'Expend - Guild'!D49+'Expend - Organ'!D49+'Expend - JrChurch'!D49+'Expend - Benevolent'!D49+'Expend - Friday'!D49</f>
        <v>0</v>
      </c>
      <c r="D49" s="32">
        <f>'Expend - General'!E50+'Expend - Fabric'!E49+'Expend - FlowerFund'!E49+'Expend - SSchoolFund'!E49+'Expend - ReithMemorial'!E49+'Expend - SfSFund'!E49+'Expend - Guild'!E49+'Expend - Organ'!E49+'Expend - JrChurch'!E49+'Expend - Benevolent'!E49+'Expend - Friday'!E49</f>
        <v>0</v>
      </c>
      <c r="E49" s="32">
        <f>'Expend - General'!F50+'Expend - Fabric'!F49+'Expend - FlowerFund'!F49+'Expend - SSchoolFund'!F49+'Expend - ReithMemorial'!F49+'Expend - SfSFund'!F49+'Expend - Guild'!F49+'Expend - Organ'!F49+'Expend - JrChurch'!F49+'Expend - Benevolent'!F49+'Expend - Friday'!F49</f>
        <v>0</v>
      </c>
      <c r="F49" s="32">
        <f>'Expend - General'!G50+'Expend - Fabric'!G49+'Expend - FlowerFund'!G49+'Expend - SSchoolFund'!G49+'Expend - ReithMemorial'!G49+'Expend - SfSFund'!G49+'Expend - Guild'!G49+'Expend - Organ'!G49+'Expend - JrChurch'!G49+'Expend - Benevolent'!G49+'Expend - Friday'!G49</f>
        <v>0</v>
      </c>
      <c r="G49" s="32">
        <f>'Expend - General'!H50+'Expend - Fabric'!H49+'Expend - FlowerFund'!H49+'Expend - SSchoolFund'!H49+'Expend - ReithMemorial'!H49+'Expend - SfSFund'!H49+'Expend - Guild'!H49+'Expend - Organ'!H49+'Expend - JrChurch'!H49+'Expend - Benevolent'!H49+'Expend - Friday'!H49</f>
        <v>0</v>
      </c>
      <c r="H49" s="32">
        <f>'Expend - General'!I50+'Expend - Fabric'!I49+'Expend - FlowerFund'!I49+'Expend - SSchoolFund'!I49+'Expend - ReithMemorial'!I49+'Expend - SfSFund'!I49+'Expend - Guild'!I49+'Expend - Organ'!I49+'Expend - JrChurch'!I49+'Expend - Benevolent'!I49+'Expend - Friday'!I49</f>
        <v>0</v>
      </c>
      <c r="I49" s="32">
        <f>'Expend - General'!J50+'Expend - Fabric'!J49+'Expend - FlowerFund'!J49+'Expend - SSchoolFund'!J49+'Expend - ReithMemorial'!J49+'Expend - SfSFund'!J49+'Expend - Guild'!J49+'Expend - Organ'!J49+'Expend - JrChurch'!J49+'Expend - Benevolent'!J49+'Expend - Friday'!J49</f>
        <v>0</v>
      </c>
      <c r="J49" s="32">
        <f>'Expend - General'!K50+'Expend - Fabric'!K49+'Expend - FlowerFund'!K49+'Expend - SSchoolFund'!K49+'Expend - ReithMemorial'!K49+'Expend - SfSFund'!K49+'Expend - Guild'!K49+'Expend - Organ'!K49+'Expend - JrChurch'!K49+'Expend - Benevolent'!K49+'Expend - Friday'!K49</f>
        <v>0</v>
      </c>
      <c r="K49" s="32">
        <f>'Expend - General'!L50+'Expend - Fabric'!L49+'Expend - FlowerFund'!L49+'Expend - SSchoolFund'!L49+'Expend - ReithMemorial'!L49+'Expend - SfSFund'!L49+'Expend - Guild'!L49+'Expend - Organ'!L49+'Expend - JrChurch'!L49+'Expend - Benevolent'!L49+'Expend - Friday'!L49</f>
        <v>0</v>
      </c>
      <c r="L49" s="32">
        <f>'Expend - General'!M50+'Expend - Fabric'!M49+'Expend - FlowerFund'!M49+'Expend - SSchoolFund'!M49+'Expend - ReithMemorial'!M49+'Expend - SfSFund'!M49+'Expend - Guild'!M49+'Expend - Organ'!M49+'Expend - JrChurch'!M49+'Expend - Benevolent'!M49+'Expend - Friday'!M49</f>
        <v>0</v>
      </c>
      <c r="M49" s="32">
        <f>'Expend - General'!N50+'Expend - Fabric'!N49+'Expend - FlowerFund'!N49+'Expend - SSchoolFund'!N49+'Expend - ReithMemorial'!N49+'Expend - SfSFund'!N49+'Expend - Guild'!N49+'Expend - Organ'!N49+'Expend - JrChurch'!N49+'Expend - Benevolent'!N49+'Expend - Friday'!N49</f>
        <v>0</v>
      </c>
      <c r="N49" s="33">
        <f t="shared" si="13"/>
        <v>0</v>
      </c>
      <c r="O49" s="36"/>
      <c r="P49" s="13">
        <f t="shared" si="2"/>
        <v>0</v>
      </c>
      <c r="Q49" s="13"/>
      <c r="R49" s="13"/>
      <c r="S49" s="13"/>
      <c r="T49" s="13"/>
      <c r="U49" s="13"/>
      <c r="V49" s="13"/>
      <c r="W49" s="13">
        <f>SUM(P49:V49)</f>
        <v>0</v>
      </c>
      <c r="Y49" s="127">
        <f>SUMIF('Expend - OverallBUD'!$C$4:$N$4,'Expend - Overall'!$Y$2,'Expend - OverallBUD'!$C49:$N49)</f>
        <v>150</v>
      </c>
      <c r="Z49" s="33">
        <f>Y49-N49</f>
        <v>150</v>
      </c>
      <c r="AB49" s="127">
        <f>SUMIF('Expend - OverallPY'!$B$4:$M$4,'Expend - Overall'!$AB$2,'Expend - OverallPY'!$B49:$M49)</f>
        <v>0</v>
      </c>
      <c r="AC49" s="32">
        <f>AB49-N49</f>
        <v>0</v>
      </c>
      <c r="AD49" s="192" t="str">
        <f>IF(ISERROR((AB49/N49)-1),"-",(AB49/N49)-1)</f>
        <v>-</v>
      </c>
      <c r="AE49" s="36"/>
    </row>
    <row r="50" spans="1:31" s="19" customFormat="1">
      <c r="A50" s="24" t="s">
        <v>124</v>
      </c>
      <c r="B50" s="36">
        <f>'Expend - General'!C51+'Expend - Fabric'!C50+'Expend - FlowerFund'!C50+'Expend - SSchoolFund'!C50+'Expend - ReithMemorial'!C50+'Expend - SfSFund'!C50+'Expend - Guild'!C50+'Expend - Organ'!C50+'Expend - JrChurch'!C50+'Expend - Benevolent'!C50+'Expend - Friday'!C50</f>
        <v>0</v>
      </c>
      <c r="C50" s="36">
        <f>'Expend - General'!D51+'Expend - Fabric'!D50+'Expend - FlowerFund'!D50+'Expend - SSchoolFund'!D50+'Expend - ReithMemorial'!D50+'Expend - SfSFund'!D50+'Expend - Guild'!D50+'Expend - Organ'!D50+'Expend - JrChurch'!D50+'Expend - Benevolent'!D50+'Expend - Friday'!D50</f>
        <v>0</v>
      </c>
      <c r="D50" s="36">
        <f>'Expend - General'!E51+'Expend - Fabric'!E50+'Expend - FlowerFund'!E50+'Expend - SSchoolFund'!E50+'Expend - ReithMemorial'!E50+'Expend - SfSFund'!E50+'Expend - Guild'!E50+'Expend - Organ'!E50+'Expend - JrChurch'!E50+'Expend - Benevolent'!E50+'Expend - Friday'!E50</f>
        <v>738.4</v>
      </c>
      <c r="E50" s="36">
        <f>'Expend - General'!F51+'Expend - Fabric'!F50+'Expend - FlowerFund'!F50+'Expend - SSchoolFund'!F50+'Expend - ReithMemorial'!F50+'Expend - SfSFund'!F50+'Expend - Guild'!F50+'Expend - Organ'!F50+'Expend - JrChurch'!F50+'Expend - Benevolent'!F50+'Expend - Friday'!F50</f>
        <v>0</v>
      </c>
      <c r="F50" s="36">
        <f>'Expend - General'!G51+'Expend - Fabric'!G50+'Expend - FlowerFund'!G50+'Expend - SSchoolFund'!G50+'Expend - ReithMemorial'!G50+'Expend - SfSFund'!G50+'Expend - Guild'!G50+'Expend - Organ'!G50+'Expend - JrChurch'!G50+'Expend - Benevolent'!G50+'Expend - Friday'!G50</f>
        <v>0</v>
      </c>
      <c r="G50" s="36">
        <f>'Expend - General'!H51+'Expend - Fabric'!H50+'Expend - FlowerFund'!H50+'Expend - SSchoolFund'!H50+'Expend - ReithMemorial'!H50+'Expend - SfSFund'!H50+'Expend - Guild'!H50+'Expend - Organ'!H50+'Expend - JrChurch'!H50+'Expend - Benevolent'!H50+'Expend - Friday'!H50</f>
        <v>0</v>
      </c>
      <c r="H50" s="36">
        <f>'Expend - General'!I51+'Expend - Fabric'!I50+'Expend - FlowerFund'!I50+'Expend - SSchoolFund'!I50+'Expend - ReithMemorial'!I50+'Expend - SfSFund'!I50+'Expend - Guild'!I50+'Expend - Organ'!I50+'Expend - JrChurch'!I50+'Expend - Benevolent'!I50+'Expend - Friday'!I50</f>
        <v>0</v>
      </c>
      <c r="I50" s="36">
        <f>'Expend - General'!J51+'Expend - Fabric'!J50+'Expend - FlowerFund'!J50+'Expend - SSchoolFund'!J50+'Expend - ReithMemorial'!J50+'Expend - SfSFund'!J50+'Expend - Guild'!J50+'Expend - Organ'!J50+'Expend - JrChurch'!J50+'Expend - Benevolent'!J50+'Expend - Friday'!J50</f>
        <v>0</v>
      </c>
      <c r="J50" s="36">
        <f>'Expend - General'!K51+'Expend - Fabric'!K50+'Expend - FlowerFund'!K50+'Expend - SSchoolFund'!K50+'Expend - ReithMemorial'!K50+'Expend - SfSFund'!K50+'Expend - Guild'!K50+'Expend - Organ'!K50+'Expend - JrChurch'!K50+'Expend - Benevolent'!K50+'Expend - Friday'!K50</f>
        <v>0</v>
      </c>
      <c r="K50" s="36">
        <f>'Expend - General'!L51+'Expend - Fabric'!L50+'Expend - FlowerFund'!L50+'Expend - SSchoolFund'!L50+'Expend - ReithMemorial'!L50+'Expend - SfSFund'!L50+'Expend - Guild'!L50+'Expend - Organ'!L50+'Expend - JrChurch'!L50+'Expend - Benevolent'!L50+'Expend - Friday'!L50</f>
        <v>0</v>
      </c>
      <c r="L50" s="36">
        <f>'Expend - General'!M51+'Expend - Fabric'!M50+'Expend - FlowerFund'!M50+'Expend - SSchoolFund'!M50+'Expend - ReithMemorial'!M50+'Expend - SfSFund'!M50+'Expend - Guild'!M50+'Expend - Organ'!M50+'Expend - JrChurch'!M50+'Expend - Benevolent'!M50+'Expend - Friday'!M50</f>
        <v>0</v>
      </c>
      <c r="M50" s="36">
        <f>'Expend - General'!N51+'Expend - Fabric'!N50+'Expend - FlowerFund'!N50+'Expend - SSchoolFund'!N50+'Expend - ReithMemorial'!N50+'Expend - SfSFund'!N50+'Expend - Guild'!N50+'Expend - Organ'!N50+'Expend - JrChurch'!N50+'Expend - Benevolent'!N50+'Expend - Friday'!N50</f>
        <v>0</v>
      </c>
      <c r="N50" s="37">
        <f t="shared" si="13"/>
        <v>738.4</v>
      </c>
      <c r="O50" s="36"/>
      <c r="P50" s="13">
        <f t="shared" si="2"/>
        <v>738.4</v>
      </c>
      <c r="Q50" s="13"/>
      <c r="R50" s="13"/>
      <c r="S50" s="13"/>
      <c r="T50" s="13"/>
      <c r="U50" s="13"/>
      <c r="V50" s="13"/>
      <c r="W50" s="13">
        <f>SUM(P50:V50)</f>
        <v>738.4</v>
      </c>
      <c r="Y50" s="131">
        <f>SUMIF('Expend - OverallBUD'!$C$4:$N$4,'Expend - Overall'!$Y$2,'Expend - OverallBUD'!$C50:$N50)</f>
        <v>750</v>
      </c>
      <c r="Z50" s="37">
        <f>Y50-N50</f>
        <v>11.600000000000023</v>
      </c>
      <c r="AB50" s="131">
        <f>SUMIF('Expend - OverallPY'!$B$4:$M$4,'Expend - Overall'!$AB$2,'Expend - OverallPY'!$B50:$M50)</f>
        <v>1284.44</v>
      </c>
      <c r="AC50" s="36">
        <f>AB50-N50</f>
        <v>546.04000000000008</v>
      </c>
      <c r="AD50" s="194">
        <f>IF(ISERROR((AB50/N50)-1),"-",(AB50/N50)-1)</f>
        <v>0.73949079089924163</v>
      </c>
      <c r="AE50" s="36"/>
    </row>
    <row r="51" spans="1:31" s="19" customFormat="1">
      <c r="A51" s="22" t="s">
        <v>125</v>
      </c>
      <c r="B51" s="34">
        <f>'Expend - General'!C52+'Expend - Fabric'!C52+'Expend - FlowerFund'!C52+'Expend - SSchoolFund'!C52+'Expend - ReithMemorial'!C52+'Expend - SfSFund'!C52+'Expend - Guild'!C52+'Expend - Organ'!C52+'Expend - JrChurch'!C52+'Expend - Benevolent'!C52+'Expend - Friday'!C52</f>
        <v>683.49</v>
      </c>
      <c r="C51" s="34">
        <f>'Expend - General'!D52+'Expend - Fabric'!D52+'Expend - FlowerFund'!D52+'Expend - SSchoolFund'!D52+'Expend - ReithMemorial'!D52+'Expend - SfSFund'!D52+'Expend - Guild'!D52+'Expend - Organ'!D52+'Expend - JrChurch'!D52+'Expend - Benevolent'!D52+'Expend - Friday'!D52</f>
        <v>190.38</v>
      </c>
      <c r="D51" s="34">
        <f>'Expend - General'!E52+'Expend - Fabric'!E52+'Expend - FlowerFund'!E52+'Expend - SSchoolFund'!E52+'Expend - ReithMemorial'!E52+'Expend - SfSFund'!E52+'Expend - Guild'!E52+'Expend - Organ'!E52+'Expend - JrChurch'!E52+'Expend - Benevolent'!E52+'Expend - Friday'!E52</f>
        <v>12.5</v>
      </c>
      <c r="E51" s="34">
        <f>'Expend - General'!F52+'Expend - Fabric'!F52+'Expend - FlowerFund'!F52+'Expend - SSchoolFund'!F52+'Expend - ReithMemorial'!F52+'Expend - SfSFund'!F52+'Expend - Guild'!F52+'Expend - Organ'!F52+'Expend - JrChurch'!F52+'Expend - Benevolent'!F52+'Expend - Friday'!F52</f>
        <v>12.5</v>
      </c>
      <c r="F51" s="34">
        <f>'Expend - General'!G52+'Expend - Fabric'!G52+'Expend - FlowerFund'!G52+'Expend - SSchoolFund'!G52+'Expend - ReithMemorial'!G52+'Expend - SfSFund'!G52+'Expend - Guild'!G52+'Expend - Organ'!G52+'Expend - JrChurch'!G52+'Expend - Benevolent'!G52+'Expend - Friday'!G52</f>
        <v>12.5</v>
      </c>
      <c r="G51" s="34">
        <f>'Expend - General'!H52+'Expend - Fabric'!H52+'Expend - FlowerFund'!H52+'Expend - SSchoolFund'!H52+'Expend - ReithMemorial'!H52+'Expend - SfSFund'!H52+'Expend - Guild'!H52+'Expend - Organ'!H52+'Expend - JrChurch'!H52+'Expend - Benevolent'!H52+'Expend - Friday'!H52</f>
        <v>0</v>
      </c>
      <c r="H51" s="34">
        <f>'Expend - General'!I52+'Expend - Fabric'!I52+'Expend - FlowerFund'!I52+'Expend - SSchoolFund'!I52+'Expend - ReithMemorial'!I52+'Expend - SfSFund'!I52+'Expend - Guild'!I52+'Expend - Organ'!I52+'Expend - JrChurch'!I52+'Expend - Benevolent'!I52+'Expend - Friday'!I52</f>
        <v>0</v>
      </c>
      <c r="I51" s="34">
        <f>'Expend - General'!J52+'Expend - Fabric'!J52+'Expend - FlowerFund'!J52+'Expend - SSchoolFund'!J52+'Expend - ReithMemorial'!J52+'Expend - SfSFund'!J52+'Expend - Guild'!J52+'Expend - Organ'!J52+'Expend - JrChurch'!J52+'Expend - Benevolent'!J52+'Expend - Friday'!J52</f>
        <v>0</v>
      </c>
      <c r="J51" s="34">
        <f>'Expend - General'!K52+'Expend - Fabric'!K52+'Expend - FlowerFund'!K52+'Expend - SSchoolFund'!K52+'Expend - ReithMemorial'!K52+'Expend - SfSFund'!K52+'Expend - Guild'!K52+'Expend - Organ'!K52+'Expend - JrChurch'!K52+'Expend - Benevolent'!K52+'Expend - Friday'!K52</f>
        <v>0</v>
      </c>
      <c r="K51" s="34">
        <f>'Expend - General'!L52+'Expend - Fabric'!L52+'Expend - FlowerFund'!L52+'Expend - SSchoolFund'!L52+'Expend - ReithMemorial'!L52+'Expend - SfSFund'!L52+'Expend - Guild'!L52+'Expend - Organ'!L52+'Expend - JrChurch'!L52+'Expend - Benevolent'!L52+'Expend - Friday'!L52</f>
        <v>0</v>
      </c>
      <c r="L51" s="34">
        <f>'Expend - General'!M52+'Expend - Fabric'!M52+'Expend - FlowerFund'!M52+'Expend - SSchoolFund'!M52+'Expend - ReithMemorial'!M52+'Expend - SfSFund'!M52+'Expend - Guild'!M52+'Expend - Organ'!M52+'Expend - JrChurch'!M52+'Expend - Benevolent'!M52+'Expend - Friday'!M52</f>
        <v>0</v>
      </c>
      <c r="M51" s="34">
        <f>'Expend - General'!N52+'Expend - Fabric'!N52+'Expend - FlowerFund'!N52+'Expend - SSchoolFund'!N52+'Expend - ReithMemorial'!N52+'Expend - SfSFund'!N52+'Expend - Guild'!N52+'Expend - Organ'!N52+'Expend - JrChurch'!N52+'Expend - Benevolent'!N52+'Expend - Friday'!N52</f>
        <v>0</v>
      </c>
      <c r="N51" s="35">
        <f t="shared" si="13"/>
        <v>911.37</v>
      </c>
      <c r="O51" s="36"/>
      <c r="P51" s="13">
        <f t="shared" si="2"/>
        <v>911.37</v>
      </c>
      <c r="Q51" s="13"/>
      <c r="R51" s="13"/>
      <c r="S51" s="13"/>
      <c r="T51" s="13"/>
      <c r="U51" s="13"/>
      <c r="V51" s="13"/>
      <c r="W51" s="13">
        <f>SUM(P51:V51)</f>
        <v>911.37</v>
      </c>
      <c r="Y51" s="129">
        <f>SUMIF('Expend - OverallBUD'!$C$4:$N$4,'Expend - Overall'!$Y$2,'Expend - OverallBUD'!$C51:$N51)</f>
        <v>1000</v>
      </c>
      <c r="Z51" s="35">
        <f>Y51-N51</f>
        <v>88.63</v>
      </c>
      <c r="AB51" s="129">
        <f>SUMIF('Expend - OverallPY'!$B$4:$M$4,'Expend - Overall'!$AB$2,'Expend - OverallPY'!$B51:$M51)</f>
        <v>4795.8500000000004</v>
      </c>
      <c r="AC51" s="34">
        <f>AB51-N51</f>
        <v>3884.4800000000005</v>
      </c>
      <c r="AD51" s="193">
        <f>IF(ISERROR((AB51/N51)-1),"-",(AB51/N51)-1)</f>
        <v>4.2622425579073271</v>
      </c>
      <c r="AE51" s="36"/>
    </row>
    <row r="52" spans="1:31" s="19" customFormat="1">
      <c r="A52" s="38"/>
      <c r="B52" s="36"/>
      <c r="C52" s="36"/>
      <c r="D52" s="36"/>
      <c r="E52" s="36"/>
      <c r="F52" s="36"/>
      <c r="G52" s="36"/>
      <c r="H52" s="36"/>
      <c r="I52" s="36"/>
      <c r="J52" s="36"/>
      <c r="K52" s="36"/>
      <c r="L52" s="36"/>
      <c r="M52" s="36"/>
      <c r="N52" s="36"/>
      <c r="O52" s="36"/>
      <c r="P52" s="13"/>
      <c r="Q52" s="13"/>
      <c r="R52" s="13"/>
      <c r="S52" s="13"/>
      <c r="T52" s="13"/>
      <c r="U52" s="13"/>
      <c r="V52" s="13"/>
      <c r="W52" s="13"/>
      <c r="Y52" s="36"/>
      <c r="Z52" s="36"/>
      <c r="AB52" s="36"/>
      <c r="AE52" s="36"/>
    </row>
    <row r="53" spans="1:31">
      <c r="A53" s="15" t="s">
        <v>126</v>
      </c>
      <c r="B53" s="13">
        <f>SUM(B54:B58)</f>
        <v>1571.47</v>
      </c>
      <c r="C53" s="13">
        <f t="shared" ref="C53:O53" si="17">SUM(C54:C58)</f>
        <v>3490.71</v>
      </c>
      <c r="D53" s="13">
        <f t="shared" si="17"/>
        <v>742.2</v>
      </c>
      <c r="E53" s="13">
        <f t="shared" si="17"/>
        <v>737.33999999999992</v>
      </c>
      <c r="F53" s="13">
        <f t="shared" si="17"/>
        <v>1307.47</v>
      </c>
      <c r="G53" s="13">
        <f t="shared" si="17"/>
        <v>0</v>
      </c>
      <c r="H53" s="13">
        <f t="shared" si="17"/>
        <v>0</v>
      </c>
      <c r="I53" s="13">
        <f t="shared" si="17"/>
        <v>0</v>
      </c>
      <c r="J53" s="13">
        <f t="shared" si="17"/>
        <v>0</v>
      </c>
      <c r="K53" s="13">
        <f t="shared" si="17"/>
        <v>0</v>
      </c>
      <c r="L53" s="13">
        <f t="shared" si="17"/>
        <v>0</v>
      </c>
      <c r="M53" s="13">
        <f t="shared" si="17"/>
        <v>0</v>
      </c>
      <c r="N53" s="13">
        <f t="shared" si="13"/>
        <v>7849.1900000000005</v>
      </c>
      <c r="O53" s="13">
        <f t="shared" si="17"/>
        <v>0</v>
      </c>
      <c r="P53" s="13">
        <f t="shared" si="2"/>
        <v>7849.1900000000005</v>
      </c>
      <c r="Q53" s="13">
        <f t="shared" ref="Q53:V53" si="18">SUM(Q54:Q58)</f>
        <v>0</v>
      </c>
      <c r="R53" s="13">
        <f t="shared" si="18"/>
        <v>0</v>
      </c>
      <c r="S53" s="13">
        <f t="shared" si="18"/>
        <v>0</v>
      </c>
      <c r="T53" s="13">
        <f t="shared" si="18"/>
        <v>0</v>
      </c>
      <c r="U53" s="13">
        <f t="shared" si="18"/>
        <v>0</v>
      </c>
      <c r="V53" s="13">
        <f t="shared" si="18"/>
        <v>0</v>
      </c>
      <c r="W53" s="13">
        <f t="shared" ref="W53:W58" si="19">SUM(P53:V53)</f>
        <v>7849.1900000000005</v>
      </c>
      <c r="Y53" s="13">
        <f>SUM(Y54:Y58)</f>
        <v>8065.25</v>
      </c>
      <c r="Z53" s="13">
        <f>SUM(Z54:Z58)</f>
        <v>216.05999999999995</v>
      </c>
      <c r="AB53" s="13">
        <f>SUM(AB54:AB58)</f>
        <v>3799.2200000000003</v>
      </c>
      <c r="AC53" s="13">
        <f t="shared" ref="AC53:AC58" si="20">AB53-N53</f>
        <v>-4049.9700000000003</v>
      </c>
      <c r="AD53" s="190">
        <f t="shared" ref="AD53:AD58" si="21">IF(ISERROR((AB53/N53)-1),"-",(AB53/N53)-1)</f>
        <v>-0.51597298574757389</v>
      </c>
      <c r="AE53" s="13"/>
    </row>
    <row r="54" spans="1:31" s="19" customFormat="1">
      <c r="A54" s="20" t="s">
        <v>127</v>
      </c>
      <c r="B54" s="32">
        <f>'Expend - General'!C55+'Expend - Fabric'!C55+'Expend - FlowerFund'!C56+'Expend - SSchoolFund'!C56+'Expend - ReithMemorial'!C56+'Expend - SfSFund'!C56+'Expend - Guild'!C56+'Expend - Organ'!C56+'Expend - JrChurch'!C56+'Expend - Benevolent'!C56+'Expend - Friday'!C56</f>
        <v>0</v>
      </c>
      <c r="C54" s="32">
        <f>'Expend - General'!D55+'Expend - Fabric'!D55+'Expend - FlowerFund'!D56+'Expend - SSchoolFund'!D56+'Expend - ReithMemorial'!D56+'Expend - SfSFund'!D56+'Expend - Guild'!D56+'Expend - Organ'!D56+'Expend - JrChurch'!D56+'Expend - Benevolent'!D56+'Expend - Friday'!D56</f>
        <v>0</v>
      </c>
      <c r="D54" s="32">
        <f>'Expend - General'!E55+'Expend - Fabric'!E55+'Expend - FlowerFund'!E56+'Expend - SSchoolFund'!E56+'Expend - ReithMemorial'!E56+'Expend - SfSFund'!E56+'Expend - Guild'!E56+'Expend - Organ'!E56+'Expend - JrChurch'!E56+'Expend - Benevolent'!E56+'Expend - Friday'!E56</f>
        <v>0</v>
      </c>
      <c r="E54" s="32">
        <f>'Expend - General'!F55+'Expend - Fabric'!F55+'Expend - FlowerFund'!F56+'Expend - SSchoolFund'!F56+'Expend - ReithMemorial'!F56+'Expend - SfSFund'!F56+'Expend - Guild'!F56+'Expend - Organ'!F56+'Expend - JrChurch'!F56+'Expend - Benevolent'!F56+'Expend - Friday'!F56</f>
        <v>0</v>
      </c>
      <c r="F54" s="32">
        <f>'Expend - General'!G55+'Expend - Fabric'!G55+'Expend - FlowerFund'!G56+'Expend - SSchoolFund'!G56+'Expend - ReithMemorial'!G56+'Expend - SfSFund'!G56+'Expend - Guild'!G56+'Expend - Organ'!G56+'Expend - JrChurch'!G56+'Expend - Benevolent'!G56+'Expend - Friday'!G56</f>
        <v>0</v>
      </c>
      <c r="G54" s="32">
        <f>'Expend - General'!H55+'Expend - Fabric'!H55+'Expend - FlowerFund'!H56+'Expend - SSchoolFund'!H56+'Expend - ReithMemorial'!H56+'Expend - SfSFund'!H56+'Expend - Guild'!H56+'Expend - Organ'!H56+'Expend - JrChurch'!H56+'Expend - Benevolent'!H56+'Expend - Friday'!H56</f>
        <v>0</v>
      </c>
      <c r="H54" s="32">
        <f>'Expend - General'!I55+'Expend - Fabric'!I55+'Expend - FlowerFund'!I56+'Expend - SSchoolFund'!I56+'Expend - ReithMemorial'!I56+'Expend - SfSFund'!I56+'Expend - Guild'!I56+'Expend - Organ'!I56+'Expend - JrChurch'!I56+'Expend - Benevolent'!I56+'Expend - Friday'!I56</f>
        <v>0</v>
      </c>
      <c r="I54" s="32">
        <f>'Expend - General'!J55+'Expend - Fabric'!J55+'Expend - FlowerFund'!J56+'Expend - SSchoolFund'!J56+'Expend - ReithMemorial'!J56+'Expend - SfSFund'!J56+'Expend - Guild'!J56+'Expend - Organ'!J56+'Expend - JrChurch'!J56+'Expend - Benevolent'!J56+'Expend - Friday'!J56</f>
        <v>0</v>
      </c>
      <c r="J54" s="32">
        <f>'Expend - General'!K55+'Expend - Fabric'!K55+'Expend - FlowerFund'!K56+'Expend - SSchoolFund'!K56+'Expend - ReithMemorial'!K56+'Expend - SfSFund'!K56+'Expend - Guild'!K56+'Expend - Organ'!K56+'Expend - JrChurch'!K56+'Expend - Benevolent'!K56+'Expend - Friday'!K56</f>
        <v>0</v>
      </c>
      <c r="K54" s="32">
        <f>'Expend - General'!L55+'Expend - Fabric'!L55+'Expend - FlowerFund'!L56+'Expend - SSchoolFund'!L56+'Expend - ReithMemorial'!L56+'Expend - SfSFund'!L56+'Expend - Guild'!L56+'Expend - Organ'!L56+'Expend - JrChurch'!L56+'Expend - Benevolent'!L56+'Expend - Friday'!L56</f>
        <v>0</v>
      </c>
      <c r="L54" s="32">
        <f>'Expend - General'!M55+'Expend - Fabric'!M55+'Expend - FlowerFund'!M56+'Expend - SSchoolFund'!M56+'Expend - ReithMemorial'!M56+'Expend - SfSFund'!M56+'Expend - Guild'!M56+'Expend - Organ'!M56+'Expend - JrChurch'!M56+'Expend - Benevolent'!M56+'Expend - Friday'!M56</f>
        <v>0</v>
      </c>
      <c r="M54" s="32">
        <f>'Expend - General'!N55+'Expend - Fabric'!N55+'Expend - FlowerFund'!N56+'Expend - SSchoolFund'!N56+'Expend - ReithMemorial'!N56+'Expend - SfSFund'!N56+'Expend - Guild'!N56+'Expend - Organ'!N56+'Expend - JrChurch'!N56+'Expend - Benevolent'!N56+'Expend - Friday'!N56</f>
        <v>0</v>
      </c>
      <c r="N54" s="33">
        <f t="shared" si="13"/>
        <v>0</v>
      </c>
      <c r="O54" s="36"/>
      <c r="P54" s="36">
        <f t="shared" si="2"/>
        <v>0</v>
      </c>
      <c r="Q54" s="36"/>
      <c r="R54" s="36"/>
      <c r="S54" s="36"/>
      <c r="T54" s="36"/>
      <c r="U54" s="36"/>
      <c r="V54" s="36"/>
      <c r="W54" s="36">
        <f t="shared" si="19"/>
        <v>0</v>
      </c>
      <c r="Y54" s="127">
        <f>SUMIF('Expend - OverallBUD'!$C$4:$N$4,'Expend - Overall'!$Y$2,'Expend - OverallBUD'!$C54:$N54)</f>
        <v>0</v>
      </c>
      <c r="Z54" s="33">
        <f>Y54-N54</f>
        <v>0</v>
      </c>
      <c r="AB54" s="127">
        <f>SUMIF('Expend - OverallPY'!$B$4:$M$4,'Expend - Overall'!$AB$2,'Expend - OverallPY'!$B54:$M54)</f>
        <v>300</v>
      </c>
      <c r="AC54" s="32">
        <f t="shared" si="20"/>
        <v>300</v>
      </c>
      <c r="AD54" s="192" t="str">
        <f t="shared" si="21"/>
        <v>-</v>
      </c>
      <c r="AE54" s="36"/>
    </row>
    <row r="55" spans="1:31" s="19" customFormat="1">
      <c r="A55" s="24" t="s">
        <v>128</v>
      </c>
      <c r="B55" s="36">
        <f>'Expend - General'!C56+'Expend - Fabric'!C56+'Expend - FlowerFund'!C57+'Expend - SSchoolFund'!C57+'Expend - ReithMemorial'!C57+'Expend - SfSFund'!C57+'Expend - Guild'!C57+'Expend - Organ'!C57+'Expend - JrChurch'!C57+'Expend - Benevolent'!C57+'Expend - Friday'!C57</f>
        <v>218.29</v>
      </c>
      <c r="C55" s="36">
        <f>'Expend - General'!D56+'Expend - Fabric'!D56+'Expend - FlowerFund'!D57+'Expend - SSchoolFund'!D57+'Expend - ReithMemorial'!D57+'Expend - SfSFund'!D57+'Expend - Guild'!D57+'Expend - Organ'!D57+'Expend - JrChurch'!D57+'Expend - Benevolent'!D57+'Expend - Friday'!D57</f>
        <v>210.88</v>
      </c>
      <c r="D55" s="36">
        <f>'Expend - General'!E56+'Expend - Fabric'!E56+'Expend - FlowerFund'!E57+'Expend - SSchoolFund'!E57+'Expend - ReithMemorial'!E57+'Expend - SfSFund'!E57+'Expend - Guild'!E57+'Expend - Organ'!E57+'Expend - JrChurch'!E57+'Expend - Benevolent'!E57+'Expend - Friday'!E57</f>
        <v>79.599999999999994</v>
      </c>
      <c r="E55" s="36">
        <f>'Expend - General'!F56+'Expend - Fabric'!F56+'Expend - FlowerFund'!F57+'Expend - SSchoolFund'!F57+'Expend - ReithMemorial'!F57+'Expend - SfSFund'!F57+'Expend - Guild'!F57+'Expend - Organ'!F57+'Expend - JrChurch'!F57+'Expend - Benevolent'!F57+'Expend - Friday'!F57</f>
        <v>203.95</v>
      </c>
      <c r="F55" s="36">
        <f>'Expend - General'!G56+'Expend - Fabric'!G56+'Expend - FlowerFund'!G57+'Expend - SSchoolFund'!G57+'Expend - ReithMemorial'!G57+'Expend - SfSFund'!G57+'Expend - Guild'!G57+'Expend - Organ'!G57+'Expend - JrChurch'!G57+'Expend - Benevolent'!G57+'Expend - Friday'!G57</f>
        <v>747.47</v>
      </c>
      <c r="G55" s="36">
        <f>'Expend - General'!H56+'Expend - Fabric'!H56+'Expend - FlowerFund'!H57+'Expend - SSchoolFund'!H57+'Expend - ReithMemorial'!H57+'Expend - SfSFund'!H57+'Expend - Guild'!H57+'Expend - Organ'!H57+'Expend - JrChurch'!H57+'Expend - Benevolent'!H57+'Expend - Friday'!H57</f>
        <v>0</v>
      </c>
      <c r="H55" s="36">
        <f>'Expend - General'!I56+'Expend - Fabric'!I56+'Expend - FlowerFund'!I57+'Expend - SSchoolFund'!I57+'Expend - ReithMemorial'!I57+'Expend - SfSFund'!I57+'Expend - Guild'!I57+'Expend - Organ'!I57+'Expend - JrChurch'!I57+'Expend - Benevolent'!I57+'Expend - Friday'!I57</f>
        <v>0</v>
      </c>
      <c r="I55" s="36">
        <f>'Expend - General'!J56+'Expend - Fabric'!J56+'Expend - FlowerFund'!J57+'Expend - SSchoolFund'!J57+'Expend - ReithMemorial'!J57+'Expend - SfSFund'!J57+'Expend - Guild'!J57+'Expend - Organ'!J57+'Expend - JrChurch'!J57+'Expend - Benevolent'!J57+'Expend - Friday'!J57</f>
        <v>0</v>
      </c>
      <c r="J55" s="36">
        <f>'Expend - General'!K56+'Expend - Fabric'!K56+'Expend - FlowerFund'!K57+'Expend - SSchoolFund'!K57+'Expend - ReithMemorial'!K57+'Expend - SfSFund'!K57+'Expend - Guild'!K57+'Expend - Organ'!K57+'Expend - JrChurch'!K57+'Expend - Benevolent'!K57+'Expend - Friday'!K57</f>
        <v>0</v>
      </c>
      <c r="K55" s="36">
        <f>'Expend - General'!L56+'Expend - Fabric'!L56+'Expend - FlowerFund'!L57+'Expend - SSchoolFund'!L57+'Expend - ReithMemorial'!L57+'Expend - SfSFund'!L57+'Expend - Guild'!L57+'Expend - Organ'!L57+'Expend - JrChurch'!L57+'Expend - Benevolent'!L57+'Expend - Friday'!L57</f>
        <v>0</v>
      </c>
      <c r="L55" s="36">
        <f>'Expend - General'!M56+'Expend - Fabric'!M56+'Expend - FlowerFund'!M57+'Expend - SSchoolFund'!M57+'Expend - ReithMemorial'!M57+'Expend - SfSFund'!M57+'Expend - Guild'!M57+'Expend - Organ'!M57+'Expend - JrChurch'!M57+'Expend - Benevolent'!M57+'Expend - Friday'!M57</f>
        <v>0</v>
      </c>
      <c r="M55" s="36">
        <f>'Expend - General'!N56+'Expend - Fabric'!N56+'Expend - FlowerFund'!N57+'Expend - SSchoolFund'!N57+'Expend - ReithMemorial'!N57+'Expend - SfSFund'!N57+'Expend - Guild'!N57+'Expend - Organ'!N57+'Expend - JrChurch'!N57+'Expend - Benevolent'!N57+'Expend - Friday'!N57</f>
        <v>0</v>
      </c>
      <c r="N55" s="37">
        <f t="shared" si="13"/>
        <v>1460.19</v>
      </c>
      <c r="O55" s="36"/>
      <c r="P55" s="36">
        <f t="shared" si="2"/>
        <v>1460.19</v>
      </c>
      <c r="Q55" s="36"/>
      <c r="R55" s="36"/>
      <c r="S55" s="36"/>
      <c r="T55" s="36"/>
      <c r="U55" s="36"/>
      <c r="V55" s="36"/>
      <c r="W55" s="36">
        <f t="shared" si="19"/>
        <v>1460.19</v>
      </c>
      <c r="Y55" s="131">
        <f>SUMIF('Expend - OverallBUD'!$C$4:$N$4,'Expend - Overall'!$Y$2,'Expend - OverallBUD'!$C55:$N55)</f>
        <v>1000</v>
      </c>
      <c r="Z55" s="37">
        <f>Y55-N55</f>
        <v>-460.19000000000005</v>
      </c>
      <c r="AB55" s="131">
        <f>SUMIF('Expend - OverallPY'!$B$4:$M$4,'Expend - Overall'!$AB$2,'Expend - OverallPY'!$B55:$M55)</f>
        <v>967.05000000000007</v>
      </c>
      <c r="AC55" s="36">
        <f t="shared" si="20"/>
        <v>-493.14</v>
      </c>
      <c r="AD55" s="194">
        <f t="shared" si="21"/>
        <v>-0.33772317301173138</v>
      </c>
      <c r="AE55" s="36"/>
    </row>
    <row r="56" spans="1:31" s="19" customFormat="1">
      <c r="A56" s="24" t="s">
        <v>129</v>
      </c>
      <c r="B56" s="13">
        <f>'Expend - General'!C57+'Expend - Fabric'!C57+'Expend - FlowerFund'!C58+'Expend - SSchoolFund'!C58+'Expend - ReithMemorial'!C58+'Expend - SfSFund'!C58+'Expend - Guild'!C58+'Expend - Organ'!C58+'Expend - JrChurch'!C58+'Expend - Benevolent'!C58+'Expend - Friday'!C58</f>
        <v>1330.25</v>
      </c>
      <c r="C56" s="13">
        <f>'Expend - General'!D57+'Expend - Fabric'!D57+'Expend - FlowerFund'!D58+'Expend - SSchoolFund'!D58+'Expend - ReithMemorial'!D58+'Expend - SfSFund'!D58+'Expend - Guild'!D58+'Expend - Organ'!D58+'Expend - JrChurch'!D58+'Expend - Benevolent'!D58+'Expend - Friday'!D58</f>
        <v>3032</v>
      </c>
      <c r="D56" s="13">
        <f>'Expend - General'!E57+'Expend - Fabric'!E57+'Expend - FlowerFund'!E58+'Expend - SSchoolFund'!E58+'Expend - ReithMemorial'!E58+'Expend - SfSFund'!E58+'Expend - Guild'!E58+'Expend - Organ'!E58+'Expend - JrChurch'!E58+'Expend - Benevolent'!E58+'Expend - Friday'!E58</f>
        <v>523</v>
      </c>
      <c r="E56" s="36">
        <f>'Expend - General'!F57+'Expend - Fabric'!F57+'Expend - FlowerFund'!F58+'Expend - SSchoolFund'!F58+'Expend - ReithMemorial'!F58+'Expend - SfSFund'!F58+'Expend - Guild'!F58+'Expend - Organ'!F58+'Expend - JrChurch'!F58+'Expend - Benevolent'!F58+'Expend - Friday'!F58</f>
        <v>120</v>
      </c>
      <c r="F56" s="36">
        <f>'Expend - General'!G57+'Expend - Fabric'!G57+'Expend - FlowerFund'!G58+'Expend - SSchoolFund'!G58+'Expend - ReithMemorial'!G58+'Expend - SfSFund'!G58+'Expend - Guild'!G58+'Expend - Organ'!G58+'Expend - JrChurch'!G58+'Expend - Benevolent'!G58+'Expend - Friday'!G58</f>
        <v>560</v>
      </c>
      <c r="G56" s="36">
        <f>'Expend - General'!H57+'Expend - Fabric'!H57+'Expend - FlowerFund'!H58+'Expend - SSchoolFund'!H58+'Expend - ReithMemorial'!H58+'Expend - SfSFund'!H58+'Expend - Guild'!H58+'Expend - Organ'!H58+'Expend - JrChurch'!H58+'Expend - Benevolent'!H58+'Expend - Friday'!H58</f>
        <v>0</v>
      </c>
      <c r="H56" s="36">
        <f>'Expend - General'!I57+'Expend - Fabric'!I57+'Expend - FlowerFund'!I58+'Expend - SSchoolFund'!I58+'Expend - ReithMemorial'!I58+'Expend - SfSFund'!I58+'Expend - Guild'!I58+'Expend - Organ'!I58+'Expend - JrChurch'!I58+'Expend - Benevolent'!I58+'Expend - Friday'!I58</f>
        <v>0</v>
      </c>
      <c r="I56" s="36">
        <f>'Expend - General'!J57+'Expend - Fabric'!J57+'Expend - FlowerFund'!J58+'Expend - SSchoolFund'!J58+'Expend - ReithMemorial'!J58+'Expend - SfSFund'!J58+'Expend - Guild'!J58+'Expend - Organ'!J58+'Expend - JrChurch'!J58+'Expend - Benevolent'!J58+'Expend - Friday'!J58</f>
        <v>0</v>
      </c>
      <c r="J56" s="36">
        <f>'Expend - General'!K57+'Expend - Fabric'!K57+'Expend - FlowerFund'!K58+'Expend - SSchoolFund'!K58+'Expend - ReithMemorial'!K58+'Expend - SfSFund'!K58+'Expend - Guild'!K58+'Expend - Organ'!K58+'Expend - JrChurch'!K58+'Expend - Benevolent'!K58+'Expend - Friday'!K58</f>
        <v>0</v>
      </c>
      <c r="K56" s="36">
        <f>'Expend - General'!L57+'Expend - Fabric'!L57+'Expend - FlowerFund'!L58+'Expend - SSchoolFund'!L58+'Expend - ReithMemorial'!L58+'Expend - SfSFund'!L58+'Expend - Guild'!L58+'Expend - Organ'!L58+'Expend - JrChurch'!L58+'Expend - Benevolent'!L58+'Expend - Friday'!L58</f>
        <v>0</v>
      </c>
      <c r="L56" s="36">
        <f>'Expend - General'!M57+'Expend - Fabric'!M57+'Expend - FlowerFund'!M58+'Expend - SSchoolFund'!M58+'Expend - ReithMemorial'!M58+'Expend - SfSFund'!M58+'Expend - Guild'!M58+'Expend - Organ'!M58+'Expend - JrChurch'!M58+'Expend - Benevolent'!M58+'Expend - Friday'!M58</f>
        <v>0</v>
      </c>
      <c r="M56" s="36">
        <f>'Expend - General'!N57+'Expend - Fabric'!N57+'Expend - FlowerFund'!N58+'Expend - SSchoolFund'!N58+'Expend - ReithMemorial'!N58+'Expend - SfSFund'!N58+'Expend - Guild'!N58+'Expend - Organ'!N58+'Expend - JrChurch'!N58+'Expend - Benevolent'!N58+'Expend - Friday'!N58</f>
        <v>0</v>
      </c>
      <c r="N56" s="37">
        <f t="shared" si="13"/>
        <v>5565.25</v>
      </c>
      <c r="O56" s="36"/>
      <c r="P56" s="36">
        <f t="shared" si="2"/>
        <v>5565.25</v>
      </c>
      <c r="Q56" s="36"/>
      <c r="R56" s="36"/>
      <c r="S56" s="36"/>
      <c r="T56" s="36"/>
      <c r="U56" s="36"/>
      <c r="V56" s="36"/>
      <c r="W56" s="36">
        <f t="shared" si="19"/>
        <v>5565.25</v>
      </c>
      <c r="Y56" s="131">
        <f>SUMIF('Expend - OverallBUD'!$C$4:$N$4,'Expend - Overall'!$Y$2,'Expend - OverallBUD'!$C56:$N56)</f>
        <v>5565.25</v>
      </c>
      <c r="Z56" s="37">
        <f>Y56-N56</f>
        <v>0</v>
      </c>
      <c r="AB56" s="131">
        <f>SUMIF('Expend - OverallPY'!$B$4:$M$4,'Expend - Overall'!$AB$2,'Expend - OverallPY'!$B56:$M56)</f>
        <v>1819</v>
      </c>
      <c r="AC56" s="36">
        <f t="shared" si="20"/>
        <v>-3746.25</v>
      </c>
      <c r="AD56" s="194">
        <f t="shared" si="21"/>
        <v>-0.6731503526346525</v>
      </c>
      <c r="AE56" s="36"/>
    </row>
    <row r="57" spans="1:31" s="19" customFormat="1">
      <c r="A57" s="24" t="s">
        <v>81</v>
      </c>
      <c r="B57" s="36">
        <f>'Expend - General'!C58+'Expend - Fabric'!C58+'Expend - FlowerFund'!C59+'Expend - SSchoolFund'!C59+'Expend - ReithMemorial'!C59+'Expend - SfSFund'!C59+'Expend - Guild'!C59+'Expend - Organ'!C59+'Expend - JrChurch'!C59+'Expend - Benevolent'!C59+'Expend - Friday'!C59</f>
        <v>0</v>
      </c>
      <c r="C57" s="36">
        <f>'Expend - General'!D58+'Expend - Fabric'!D58+'Expend - FlowerFund'!D59+'Expend - SSchoolFund'!D59+'Expend - ReithMemorial'!D59+'Expend - SfSFund'!D59+'Expend - Guild'!D59+'Expend - Organ'!D59+'Expend - JrChurch'!D59+'Expend - Benevolent'!D59+'Expend - Friday'!D59</f>
        <v>0</v>
      </c>
      <c r="D57" s="36">
        <f>'Expend - General'!E58+'Expend - Fabric'!E58+'Expend - FlowerFund'!E59+'Expend - SSchoolFund'!E59+'Expend - ReithMemorial'!E59+'Expend - SfSFund'!E59+'Expend - Guild'!E59+'Expend - Organ'!E59+'Expend - JrChurch'!E59+'Expend - Benevolent'!E59+'Expend - Friday'!E59</f>
        <v>0</v>
      </c>
      <c r="E57" s="36">
        <f>'Expend - General'!F58+'Expend - Fabric'!F58+'Expend - FlowerFund'!F59+'Expend - SSchoolFund'!F59+'Expend - ReithMemorial'!F59+'Expend - SfSFund'!F59+'Expend - Guild'!F59+'Expend - Organ'!F59+'Expend - JrChurch'!F59+'Expend - Benevolent'!F59+'Expend - Friday'!F59</f>
        <v>0</v>
      </c>
      <c r="F57" s="36">
        <f>'Expend - General'!G58+'Expend - Fabric'!G58+'Expend - FlowerFund'!G59+'Expend - SSchoolFund'!G59+'Expend - ReithMemorial'!G59+'Expend - SfSFund'!G59+'Expend - Guild'!G59+'Expend - Organ'!G59+'Expend - JrChurch'!G59+'Expend - Benevolent'!G59+'Expend - Friday'!G59</f>
        <v>0</v>
      </c>
      <c r="G57" s="36">
        <f>'Expend - General'!H58+'Expend - Fabric'!H58+'Expend - FlowerFund'!H59+'Expend - SSchoolFund'!H59+'Expend - ReithMemorial'!H59+'Expend - SfSFund'!H59+'Expend - Guild'!H59+'Expend - Organ'!H59+'Expend - JrChurch'!H59+'Expend - Benevolent'!H59+'Expend - Friday'!H59</f>
        <v>0</v>
      </c>
      <c r="H57" s="36">
        <f>'Expend - General'!I58+'Expend - Fabric'!I58+'Expend - FlowerFund'!I59+'Expend - SSchoolFund'!I59+'Expend - ReithMemorial'!I59+'Expend - SfSFund'!I59+'Expend - Guild'!I59+'Expend - Organ'!I59+'Expend - JrChurch'!I59+'Expend - Benevolent'!I59+'Expend - Friday'!I59</f>
        <v>0</v>
      </c>
      <c r="I57" s="36">
        <f>'Expend - General'!J58+'Expend - Fabric'!J58+'Expend - FlowerFund'!J59+'Expend - SSchoolFund'!J59+'Expend - ReithMemorial'!J59+'Expend - SfSFund'!J59+'Expend - Guild'!J59+'Expend - Organ'!J59+'Expend - JrChurch'!J59+'Expend - Benevolent'!J59+'Expend - Friday'!J59</f>
        <v>0</v>
      </c>
      <c r="J57" s="36">
        <f>'Expend - General'!K58+'Expend - Fabric'!K58+'Expend - FlowerFund'!K59+'Expend - SSchoolFund'!K59+'Expend - ReithMemorial'!K59+'Expend - SfSFund'!K59+'Expend - Guild'!K59+'Expend - Organ'!K59+'Expend - JrChurch'!K59+'Expend - Benevolent'!K59+'Expend - Friday'!K59</f>
        <v>0</v>
      </c>
      <c r="K57" s="36">
        <f>'Expend - General'!L58+'Expend - Fabric'!L58+'Expend - FlowerFund'!L59+'Expend - SSchoolFund'!L59+'Expend - ReithMemorial'!L59+'Expend - SfSFund'!L59+'Expend - Guild'!L59+'Expend - Organ'!L59+'Expend - JrChurch'!L59+'Expend - Benevolent'!L59+'Expend - Friday'!L59</f>
        <v>0</v>
      </c>
      <c r="L57" s="36">
        <f>'Expend - General'!M58+'Expend - Fabric'!M58+'Expend - FlowerFund'!M59+'Expend - SSchoolFund'!M59+'Expend - ReithMemorial'!M59+'Expend - SfSFund'!M59+'Expend - Guild'!M59+'Expend - Organ'!M59+'Expend - JrChurch'!M59+'Expend - Benevolent'!M59+'Expend - Friday'!M59</f>
        <v>0</v>
      </c>
      <c r="M57" s="36">
        <f>'Expend - General'!N58+'Expend - Fabric'!N58+'Expend - FlowerFund'!N59+'Expend - SSchoolFund'!N59+'Expend - ReithMemorial'!N59+'Expend - SfSFund'!N59+'Expend - Guild'!N59+'Expend - Organ'!N59+'Expend - JrChurch'!N59+'Expend - Benevolent'!N59+'Expend - Friday'!N59</f>
        <v>0</v>
      </c>
      <c r="N57" s="37">
        <f t="shared" si="13"/>
        <v>0</v>
      </c>
      <c r="O57" s="36"/>
      <c r="P57" s="36">
        <f t="shared" si="2"/>
        <v>0</v>
      </c>
      <c r="Q57" s="36"/>
      <c r="R57" s="36"/>
      <c r="S57" s="36"/>
      <c r="T57" s="36"/>
      <c r="U57" s="36"/>
      <c r="V57" s="36"/>
      <c r="W57" s="36">
        <f t="shared" si="19"/>
        <v>0</v>
      </c>
      <c r="Y57" s="131">
        <f>SUMIF('Expend - OverallBUD'!$C$4:$N$4,'Expend - Overall'!$Y$2,'Expend - OverallBUD'!$C57:$N57)</f>
        <v>0</v>
      </c>
      <c r="Z57" s="37">
        <f>Y57-N57</f>
        <v>0</v>
      </c>
      <c r="AB57" s="131">
        <f>SUMIF('Expend - OverallPY'!$B$4:$M$4,'Expend - Overall'!$AB$2,'Expend - OverallPY'!$B57:$M57)</f>
        <v>0</v>
      </c>
      <c r="AC57" s="36">
        <f t="shared" si="20"/>
        <v>0</v>
      </c>
      <c r="AD57" s="194" t="str">
        <f t="shared" si="21"/>
        <v>-</v>
      </c>
      <c r="AE57" s="36"/>
    </row>
    <row r="58" spans="1:31" s="19" customFormat="1">
      <c r="A58" s="22" t="s">
        <v>130</v>
      </c>
      <c r="B58" s="34">
        <f>'Expend - General'!C59+'Expend - Fabric'!C59+'Expend - FlowerFund'!C60+'Expend - SSchoolFund'!C60+'Expend - ReithMemorial'!C60+'Expend - SfSFund'!C60+'Expend - Guild'!C60+'Expend - Organ'!C60+'Expend - JrChurch'!C60+'Expend - Benevolent'!C60</f>
        <v>22.93</v>
      </c>
      <c r="C58" s="34">
        <f>'Expend - General'!D59+'Expend - Fabric'!D59+'Expend - FlowerFund'!D60+'Expend - SSchoolFund'!D60+'Expend - ReithMemorial'!D60+'Expend - SfSFund'!D60+'Expend - Guild'!D60+'Expend - Organ'!D60+'Expend - JrChurch'!D60+'Expend - Benevolent'!D60</f>
        <v>247.83</v>
      </c>
      <c r="D58" s="34">
        <f>'Expend - General'!E59+'Expend - Fabric'!E59+'Expend - FlowerFund'!E60+'Expend - SSchoolFund'!E60+'Expend - ReithMemorial'!E60+'Expend - SfSFund'!E60+'Expend - Guild'!E60+'Expend - Organ'!E60+'Expend - JrChurch'!E60+'Expend - Benevolent'!E60</f>
        <v>139.6</v>
      </c>
      <c r="E58" s="34">
        <f>'Expend - General'!F59+'Expend - Fabric'!F59+'Expend - FlowerFund'!F60+'Expend - SSchoolFund'!F60+'Expend - ReithMemorial'!F60+'Expend - SfSFund'!F60+'Expend - Guild'!F60+'Expend - Organ'!F60+'Expend - JrChurch'!F60+'Expend - Benevolent'!F60</f>
        <v>413.39</v>
      </c>
      <c r="F58" s="34">
        <f>'Expend - General'!G59+'Expend - Fabric'!G59+'Expend - FlowerFund'!G60+'Expend - SSchoolFund'!G60+'Expend - ReithMemorial'!G60+'Expend - SfSFund'!G60+'Expend - Guild'!G60+'Expend - Organ'!G60+'Expend - JrChurch'!G60+'Expend - Benevolent'!G60</f>
        <v>0</v>
      </c>
      <c r="G58" s="34">
        <f>'Expend - General'!H59+'Expend - Fabric'!H59+'Expend - FlowerFund'!H60+'Expend - SSchoolFund'!H60+'Expend - ReithMemorial'!H60+'Expend - SfSFund'!H60+'Expend - Guild'!H60+'Expend - Organ'!H60+'Expend - JrChurch'!H60+'Expend - Benevolent'!H60</f>
        <v>0</v>
      </c>
      <c r="H58" s="34">
        <f>'Expend - General'!I59+'Expend - Fabric'!I59+'Expend - FlowerFund'!I60+'Expend - SSchoolFund'!I60+'Expend - ReithMemorial'!I60+'Expend - SfSFund'!I60+'Expend - Guild'!I60+'Expend - Organ'!I60+'Expend - JrChurch'!I60+'Expend - Benevolent'!I60</f>
        <v>0</v>
      </c>
      <c r="I58" s="34">
        <f>'Expend - General'!J59+'Expend - Fabric'!J59+'Expend - FlowerFund'!J60+'Expend - SSchoolFund'!J60+'Expend - ReithMemorial'!J60+'Expend - SfSFund'!J60+'Expend - Guild'!J60+'Expend - Organ'!J60+'Expend - JrChurch'!J60+'Expend - Benevolent'!J60</f>
        <v>0</v>
      </c>
      <c r="J58" s="34">
        <f>'Expend - General'!K59+'Expend - Fabric'!K59+'Expend - FlowerFund'!K60+'Expend - SSchoolFund'!K60+'Expend - ReithMemorial'!K60+'Expend - SfSFund'!K60+'Expend - Guild'!K60+'Expend - Organ'!K60+'Expend - JrChurch'!K60+'Expend - Benevolent'!K60</f>
        <v>0</v>
      </c>
      <c r="K58" s="34">
        <f>'Expend - General'!L59+'Expend - Fabric'!L59+'Expend - FlowerFund'!L60+'Expend - SSchoolFund'!L60+'Expend - ReithMemorial'!L60+'Expend - SfSFund'!L60+'Expend - Guild'!L60+'Expend - Organ'!L60+'Expend - JrChurch'!L60+'Expend - Benevolent'!L60</f>
        <v>0</v>
      </c>
      <c r="L58" s="34">
        <f>'Expend - General'!M59+'Expend - Fabric'!M59+'Expend - FlowerFund'!M60+'Expend - SSchoolFund'!M60+'Expend - ReithMemorial'!M60+'Expend - SfSFund'!M60+'Expend - Guild'!M60+'Expend - Organ'!M60+'Expend - JrChurch'!M60+'Expend - Benevolent'!M60</f>
        <v>0</v>
      </c>
      <c r="M58" s="34">
        <f>'Expend - General'!N59+'Expend - Fabric'!N59+'Expend - FlowerFund'!N60+'Expend - SSchoolFund'!N60+'Expend - ReithMemorial'!N60+'Expend - SfSFund'!N60+'Expend - Guild'!N60+'Expend - Organ'!N60+'Expend - JrChurch'!N60+'Expend - Benevolent'!N60</f>
        <v>0</v>
      </c>
      <c r="N58" s="35">
        <f t="shared" si="13"/>
        <v>823.75</v>
      </c>
      <c r="O58" s="36"/>
      <c r="P58" s="36">
        <f t="shared" si="2"/>
        <v>823.75</v>
      </c>
      <c r="Q58" s="36"/>
      <c r="R58" s="36"/>
      <c r="S58" s="36"/>
      <c r="T58" s="36"/>
      <c r="U58" s="36"/>
      <c r="V58" s="36"/>
      <c r="W58" s="36">
        <f t="shared" si="19"/>
        <v>823.75</v>
      </c>
      <c r="Y58" s="129">
        <f>SUMIF('Expend - OverallBUD'!$C$4:$N$4,'Expend - Overall'!$Y$2,'Expend - OverallBUD'!$C58:$N58)</f>
        <v>1500</v>
      </c>
      <c r="Z58" s="35">
        <f>Y58-N58</f>
        <v>676.25</v>
      </c>
      <c r="AB58" s="129">
        <f>SUMIF('Expend - OverallPY'!$B$4:$M$4,'Expend - Overall'!$AB$2,'Expend - OverallPY'!$B58:$M58)</f>
        <v>713.17000000000007</v>
      </c>
      <c r="AC58" s="34">
        <f t="shared" si="20"/>
        <v>-110.57999999999993</v>
      </c>
      <c r="AD58" s="193">
        <f t="shared" si="21"/>
        <v>-0.13423975720789061</v>
      </c>
      <c r="AE58" s="36"/>
    </row>
    <row r="59" spans="1:31" s="19" customFormat="1">
      <c r="A59" s="38"/>
      <c r="B59" s="36"/>
      <c r="C59" s="36"/>
      <c r="D59" s="36"/>
      <c r="E59" s="36"/>
      <c r="F59" s="36"/>
      <c r="G59" s="36"/>
      <c r="H59" s="36"/>
      <c r="I59" s="36"/>
      <c r="J59" s="36"/>
      <c r="K59" s="36"/>
      <c r="L59" s="36"/>
      <c r="M59" s="36"/>
      <c r="N59" s="36"/>
      <c r="O59" s="36"/>
      <c r="P59" s="36"/>
      <c r="Q59" s="36"/>
      <c r="R59" s="36"/>
      <c r="S59" s="36"/>
      <c r="T59" s="36"/>
      <c r="U59" s="36"/>
      <c r="V59" s="36"/>
      <c r="W59" s="36"/>
      <c r="Y59" s="36"/>
      <c r="Z59" s="36"/>
      <c r="AB59" s="36"/>
      <c r="AE59" s="36"/>
    </row>
    <row r="60" spans="1:31" s="19" customFormat="1" ht="14.65" thickBot="1">
      <c r="A60" s="7" t="s">
        <v>131</v>
      </c>
      <c r="B60" s="28">
        <f t="shared" ref="B60:W60" si="22">B53+B48+B47+B43+B38+B37+B33+B21+B20+B19+B15+B14+B13</f>
        <v>18887.240000000002</v>
      </c>
      <c r="C60" s="28">
        <f t="shared" si="22"/>
        <v>14380.630000000001</v>
      </c>
      <c r="D60" s="28">
        <f t="shared" si="22"/>
        <v>43084.35</v>
      </c>
      <c r="E60" s="28">
        <f t="shared" si="22"/>
        <v>3269.3100000000004</v>
      </c>
      <c r="F60" s="28">
        <f t="shared" si="22"/>
        <v>16745.330000000002</v>
      </c>
      <c r="G60" s="28">
        <f t="shared" si="22"/>
        <v>0</v>
      </c>
      <c r="H60" s="28">
        <f t="shared" si="22"/>
        <v>0</v>
      </c>
      <c r="I60" s="28">
        <f t="shared" si="22"/>
        <v>0</v>
      </c>
      <c r="J60" s="28">
        <f t="shared" si="22"/>
        <v>0</v>
      </c>
      <c r="K60" s="28">
        <f t="shared" si="22"/>
        <v>0</v>
      </c>
      <c r="L60" s="28">
        <f t="shared" si="22"/>
        <v>0</v>
      </c>
      <c r="M60" s="28">
        <f t="shared" si="22"/>
        <v>0</v>
      </c>
      <c r="N60" s="28">
        <f t="shared" si="22"/>
        <v>96366.859999999986</v>
      </c>
      <c r="O60" s="28">
        <f t="shared" si="22"/>
        <v>0</v>
      </c>
      <c r="P60" s="28">
        <f t="shared" si="22"/>
        <v>96366.859999999986</v>
      </c>
      <c r="Q60" s="28">
        <f t="shared" si="22"/>
        <v>0</v>
      </c>
      <c r="R60" s="28">
        <f t="shared" si="22"/>
        <v>0</v>
      </c>
      <c r="S60" s="28">
        <f t="shared" si="22"/>
        <v>0</v>
      </c>
      <c r="T60" s="28">
        <f t="shared" si="22"/>
        <v>0</v>
      </c>
      <c r="U60" s="28">
        <f t="shared" si="22"/>
        <v>0</v>
      </c>
      <c r="V60" s="28">
        <f t="shared" si="22"/>
        <v>0</v>
      </c>
      <c r="W60" s="28">
        <f t="shared" si="22"/>
        <v>96366.859999999986</v>
      </c>
      <c r="Y60" s="28">
        <f>Y53+Y48+Y47+Y43+Y38+Y37+Y33+Y21+Y20+Y19+Y15+Y14+Y13</f>
        <v>93748.65</v>
      </c>
      <c r="Z60" s="28">
        <f>Z53+Z48+Z47+Z43+Z38+Z37+Z33+Z21+Z20+Z19+Z15+Z14+Z13</f>
        <v>-2618.2099999999987</v>
      </c>
      <c r="AB60" s="28">
        <f>AB53+AB48+AB47+AB43+AB38+AB37+AB33+AB21+AB20+AB19+AB15+AB14+AB13</f>
        <v>83753.61</v>
      </c>
      <c r="AC60" s="28">
        <f>AC53+AC48+AC47+AC43+AC38+AC37+AC33+AC21+AC20+AC19+AC15+AC14+AC13</f>
        <v>-12613.250000000002</v>
      </c>
      <c r="AD60" s="191">
        <f>IF(ISERROR((AB60/N60)-1),"-",(AB60/N60)-1)</f>
        <v>-0.13088783841249974</v>
      </c>
      <c r="AE60" s="36"/>
    </row>
    <row r="61" spans="1:31" s="19" customFormat="1">
      <c r="A61" s="7"/>
      <c r="B61" s="36"/>
      <c r="C61" s="36"/>
      <c r="D61" s="36"/>
      <c r="E61" s="36"/>
      <c r="F61" s="36"/>
      <c r="G61" s="36"/>
      <c r="H61" s="36"/>
      <c r="I61" s="36"/>
      <c r="J61" s="36"/>
      <c r="K61" s="36"/>
      <c r="L61" s="36"/>
      <c r="M61" s="36"/>
      <c r="N61" s="36"/>
      <c r="O61" s="36"/>
      <c r="P61" s="36"/>
      <c r="Q61" s="36"/>
      <c r="R61" s="36"/>
      <c r="S61" s="36"/>
      <c r="T61" s="36"/>
      <c r="U61" s="36"/>
      <c r="V61" s="36"/>
      <c r="W61" s="36"/>
      <c r="Y61" s="36"/>
      <c r="Z61" s="36"/>
      <c r="AB61" s="36"/>
      <c r="AE61" s="36"/>
    </row>
    <row r="62" spans="1:31" s="19" customFormat="1" ht="14.65" thickBot="1">
      <c r="A62" s="7" t="s">
        <v>132</v>
      </c>
      <c r="B62" s="28">
        <f t="shared" ref="B62:W62" si="23">B60+B10</f>
        <v>18887.240000000002</v>
      </c>
      <c r="C62" s="42">
        <f t="shared" si="23"/>
        <v>14380.630000000001</v>
      </c>
      <c r="D62" s="28">
        <f t="shared" si="23"/>
        <v>43084.35</v>
      </c>
      <c r="E62" s="28">
        <f t="shared" si="23"/>
        <v>3269.3100000000004</v>
      </c>
      <c r="F62" s="28">
        <f t="shared" si="23"/>
        <v>16745.330000000002</v>
      </c>
      <c r="G62" s="28">
        <f t="shared" si="23"/>
        <v>0</v>
      </c>
      <c r="H62" s="28">
        <f t="shared" si="23"/>
        <v>0</v>
      </c>
      <c r="I62" s="28">
        <f t="shared" si="23"/>
        <v>0</v>
      </c>
      <c r="J62" s="28">
        <f t="shared" si="23"/>
        <v>0</v>
      </c>
      <c r="K62" s="28">
        <f t="shared" si="23"/>
        <v>0</v>
      </c>
      <c r="L62" s="28">
        <f t="shared" si="23"/>
        <v>0</v>
      </c>
      <c r="M62" s="28">
        <f t="shared" si="23"/>
        <v>0</v>
      </c>
      <c r="N62" s="28">
        <f t="shared" si="23"/>
        <v>96366.859999999986</v>
      </c>
      <c r="O62" s="28">
        <f t="shared" si="23"/>
        <v>0</v>
      </c>
      <c r="P62" s="28">
        <f t="shared" si="23"/>
        <v>96366.859999999986</v>
      </c>
      <c r="Q62" s="28">
        <f t="shared" si="23"/>
        <v>0</v>
      </c>
      <c r="R62" s="28">
        <f t="shared" si="23"/>
        <v>0</v>
      </c>
      <c r="S62" s="28">
        <f t="shared" si="23"/>
        <v>0</v>
      </c>
      <c r="T62" s="28">
        <f t="shared" si="23"/>
        <v>0</v>
      </c>
      <c r="U62" s="28">
        <f t="shared" si="23"/>
        <v>0</v>
      </c>
      <c r="V62" s="28">
        <f t="shared" si="23"/>
        <v>0</v>
      </c>
      <c r="W62" s="28">
        <f t="shared" si="23"/>
        <v>96366.859999999986</v>
      </c>
      <c r="Y62" s="28">
        <f>Y60+Y10</f>
        <v>93748.65</v>
      </c>
      <c r="Z62" s="28">
        <f>Z60+Z10</f>
        <v>-2618.2099999999987</v>
      </c>
      <c r="AB62" s="28">
        <f>AB60+AB10</f>
        <v>83753.61</v>
      </c>
      <c r="AC62" s="28">
        <f>AC60+AC10</f>
        <v>-12613.250000000002</v>
      </c>
      <c r="AD62" s="191">
        <f>IF(ISERROR((AB62/N62)-1),"-",(AB62/N62)-1)</f>
        <v>-0.13088783841249974</v>
      </c>
      <c r="AE62" s="36"/>
    </row>
    <row r="63" spans="1:31">
      <c r="G63" s="13"/>
      <c r="N63" s="13"/>
      <c r="O63" s="133">
        <f>108.41+63705+657+219.39+978+1500+4101.8+248.37+8227.34+9611.67+15223.85+972.29+1033.11+1300.09+18131.37+621+2607.17+2307.6+666.6+4299.34+1491.03+496.22+4496.86+170+3034.09+270+1268+910+2980.71+240+38+9787.43</f>
        <v>161701.73999999996</v>
      </c>
      <c r="P63" s="13"/>
      <c r="Q63" s="13"/>
      <c r="R63" s="13"/>
      <c r="S63" s="13"/>
      <c r="T63" s="13"/>
      <c r="U63" s="13"/>
      <c r="V63" s="13"/>
      <c r="W63" s="13"/>
      <c r="Y63" s="13"/>
      <c r="Z63" s="13"/>
      <c r="AB63" s="13"/>
    </row>
    <row r="68" spans="25:25">
      <c r="Y68" s="19"/>
    </row>
  </sheetData>
  <pageMargins left="0.7" right="0.7" top="0.75" bottom="0.75" header="0.3" footer="0.3"/>
  <pageSetup paperSize="9" scale="54" orientation="landscape" r:id="rId1"/>
  <headerFooter alignWithMargins="0">
    <oddHeader>&amp;A</oddHead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3"/>
  <sheetViews>
    <sheetView topLeftCell="A19" zoomScale="80" zoomScaleNormal="80" workbookViewId="0">
      <selection activeCell="F47" sqref="F47:G47"/>
    </sheetView>
  </sheetViews>
  <sheetFormatPr defaultColWidth="9" defaultRowHeight="14.25"/>
  <cols>
    <col min="1" max="1" width="47.5703125" style="48" bestFit="1" customWidth="1"/>
    <col min="2" max="2" width="10" style="49" bestFit="1" customWidth="1"/>
    <col min="3" max="14" width="9.28515625" style="47" customWidth="1"/>
    <col min="15" max="15" width="12.42578125" style="47" bestFit="1" customWidth="1"/>
    <col min="16" max="16" width="9" style="48"/>
    <col min="17" max="17" width="13.42578125" style="48" bestFit="1" customWidth="1"/>
    <col min="18" max="16384" width="9" style="48"/>
  </cols>
  <sheetData>
    <row r="1" spans="1:16">
      <c r="A1" s="44" t="s">
        <v>0</v>
      </c>
      <c r="B1" s="45"/>
      <c r="C1" s="46"/>
    </row>
    <row r="2" spans="1:16">
      <c r="A2" s="44" t="s">
        <v>10</v>
      </c>
      <c r="B2" s="45"/>
    </row>
    <row r="3" spans="1:16">
      <c r="A3" s="197">
        <f>'Income - Overall'!A3</f>
        <v>46173</v>
      </c>
      <c r="B3" s="45"/>
    </row>
    <row r="4" spans="1:16">
      <c r="A4" s="44" t="s">
        <v>133</v>
      </c>
    </row>
    <row r="5" spans="1:16">
      <c r="A5" s="50"/>
      <c r="B5" s="50"/>
      <c r="C5" s="50"/>
      <c r="D5" s="50"/>
      <c r="E5" s="50"/>
      <c r="F5" s="50"/>
      <c r="G5" s="50"/>
      <c r="H5" s="50"/>
      <c r="I5" s="50"/>
      <c r="J5" s="50"/>
      <c r="K5" s="50"/>
      <c r="L5" s="50"/>
      <c r="M5" s="50"/>
      <c r="N5" s="50"/>
      <c r="O5" s="50"/>
    </row>
    <row r="6" spans="1:16">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6">
      <c r="A7" s="44" t="s">
        <v>44</v>
      </c>
      <c r="B7" s="52"/>
      <c r="C7" s="51"/>
      <c r="D7" s="51"/>
      <c r="E7" s="51"/>
      <c r="F7" s="51"/>
      <c r="G7" s="51"/>
      <c r="H7" s="51"/>
      <c r="I7" s="51"/>
      <c r="J7" s="51"/>
      <c r="K7" s="51"/>
      <c r="L7" s="51"/>
      <c r="M7" s="51"/>
      <c r="N7" s="51"/>
      <c r="O7" s="51"/>
    </row>
    <row r="8" spans="1:16">
      <c r="A8" s="44" t="s">
        <v>45</v>
      </c>
      <c r="B8" s="52"/>
      <c r="C8" s="51"/>
      <c r="D8" s="51"/>
      <c r="E8" s="51"/>
      <c r="F8" s="51"/>
      <c r="G8" s="51"/>
      <c r="H8" s="51"/>
      <c r="I8" s="51"/>
      <c r="J8" s="51"/>
      <c r="K8" s="51"/>
      <c r="L8" s="51"/>
      <c r="M8" s="51"/>
      <c r="N8" s="51"/>
      <c r="O8" s="51"/>
    </row>
    <row r="9" spans="1:16">
      <c r="A9" s="50" t="s">
        <v>46</v>
      </c>
    </row>
    <row r="10" spans="1:16">
      <c r="A10" s="53" t="s">
        <v>47</v>
      </c>
      <c r="B10" s="49" t="s">
        <v>135</v>
      </c>
      <c r="C10" s="207">
        <v>5873</v>
      </c>
      <c r="D10" s="207">
        <v>6113</v>
      </c>
      <c r="E10" s="207">
        <v>6308</v>
      </c>
      <c r="F10" s="207">
        <v>6178</v>
      </c>
      <c r="G10" s="207">
        <v>7273.41</v>
      </c>
      <c r="H10" s="54"/>
      <c r="I10" s="54"/>
      <c r="J10" s="54"/>
      <c r="K10" s="54"/>
      <c r="L10" s="54"/>
      <c r="M10" s="54"/>
      <c r="N10" s="54"/>
      <c r="O10" s="47">
        <f t="shared" ref="O10:O15" si="0">SUM(C10:N10)</f>
        <v>31745.41</v>
      </c>
    </row>
    <row r="11" spans="1:16">
      <c r="A11" s="53" t="s">
        <v>48</v>
      </c>
      <c r="B11" s="49" t="s">
        <v>136</v>
      </c>
      <c r="C11" s="208">
        <v>502</v>
      </c>
      <c r="D11" s="208">
        <v>452</v>
      </c>
      <c r="E11" s="208">
        <v>470</v>
      </c>
      <c r="F11" s="208">
        <v>457</v>
      </c>
      <c r="G11" s="208">
        <v>457</v>
      </c>
      <c r="H11" s="54"/>
      <c r="I11" s="54"/>
      <c r="J11" s="54"/>
      <c r="K11" s="54"/>
      <c r="L11" s="54"/>
      <c r="M11" s="54"/>
      <c r="N11" s="54"/>
      <c r="O11" s="47">
        <f t="shared" si="0"/>
        <v>2338</v>
      </c>
    </row>
    <row r="12" spans="1:16">
      <c r="A12" s="53" t="s">
        <v>49</v>
      </c>
      <c r="B12" s="49" t="s">
        <v>137</v>
      </c>
      <c r="C12" s="208">
        <v>470.62</v>
      </c>
      <c r="D12" s="208">
        <v>514.53</v>
      </c>
      <c r="E12" s="208">
        <v>606.79999999999995</v>
      </c>
      <c r="F12" s="54"/>
      <c r="G12" s="54"/>
      <c r="H12" s="54"/>
      <c r="I12" s="54"/>
      <c r="J12" s="54"/>
      <c r="K12" s="54"/>
      <c r="L12" s="54"/>
      <c r="M12" s="54"/>
      <c r="N12" s="54"/>
      <c r="O12" s="47">
        <f>SUM(C12:N12)</f>
        <v>1591.9499999999998</v>
      </c>
    </row>
    <row r="13" spans="1:16">
      <c r="A13" s="53" t="s">
        <v>50</v>
      </c>
      <c r="B13" s="49" t="s">
        <v>138</v>
      </c>
      <c r="C13" s="54"/>
      <c r="D13" s="54"/>
      <c r="E13" s="54"/>
      <c r="F13" s="54"/>
      <c r="G13" s="54"/>
      <c r="H13" s="54"/>
      <c r="I13" s="54"/>
      <c r="J13" s="54"/>
      <c r="K13" s="54"/>
      <c r="L13" s="54"/>
      <c r="M13" s="54"/>
      <c r="N13" s="54"/>
      <c r="O13" s="47">
        <f t="shared" si="0"/>
        <v>0</v>
      </c>
      <c r="P13" s="47"/>
    </row>
    <row r="14" spans="1:16">
      <c r="A14" s="53" t="s">
        <v>51</v>
      </c>
      <c r="B14" s="49" t="s">
        <v>139</v>
      </c>
      <c r="C14" s="208">
        <v>469.66</v>
      </c>
      <c r="D14" s="208">
        <v>597.41</v>
      </c>
      <c r="E14" s="208">
        <v>300.5</v>
      </c>
      <c r="F14" s="208">
        <v>579.59</v>
      </c>
      <c r="G14" s="208">
        <v>494.4</v>
      </c>
      <c r="H14" s="54"/>
      <c r="I14" s="54"/>
      <c r="J14" s="54"/>
      <c r="K14" s="54"/>
      <c r="L14" s="54"/>
      <c r="M14" s="54"/>
      <c r="N14" s="54"/>
      <c r="O14" s="47">
        <f>SUM(C14:N14)</f>
        <v>2441.56</v>
      </c>
    </row>
    <row r="15" spans="1:16">
      <c r="A15" s="53" t="s">
        <v>52</v>
      </c>
      <c r="B15" s="49" t="s">
        <v>140</v>
      </c>
      <c r="F15" s="208">
        <v>118.73</v>
      </c>
      <c r="G15" s="207">
        <v>3034.41</v>
      </c>
      <c r="H15" s="54"/>
      <c r="I15" s="54"/>
      <c r="J15" s="54"/>
      <c r="K15" s="54"/>
      <c r="L15" s="54"/>
      <c r="M15" s="54"/>
      <c r="N15" s="54"/>
      <c r="O15" s="47">
        <f t="shared" si="0"/>
        <v>3153.14</v>
      </c>
    </row>
    <row r="16" spans="1:16">
      <c r="A16" s="50" t="s">
        <v>53</v>
      </c>
      <c r="B16" s="55"/>
      <c r="C16" s="56">
        <f>SUM(C10:C14)</f>
        <v>7315.28</v>
      </c>
      <c r="D16" s="56">
        <f>SUM(D10:D14)</f>
        <v>7676.94</v>
      </c>
      <c r="E16" s="56">
        <f>SUM(E10:E14)</f>
        <v>7685.3</v>
      </c>
      <c r="F16" s="56">
        <f t="shared" ref="F16:O16" si="1">SUM(F10:F15)</f>
        <v>7333.32</v>
      </c>
      <c r="G16" s="56">
        <f t="shared" si="1"/>
        <v>11259.22</v>
      </c>
      <c r="H16" s="56">
        <f t="shared" si="1"/>
        <v>0</v>
      </c>
      <c r="I16" s="56">
        <f t="shared" si="1"/>
        <v>0</v>
      </c>
      <c r="J16" s="56">
        <f t="shared" si="1"/>
        <v>0</v>
      </c>
      <c r="K16" s="56">
        <f t="shared" si="1"/>
        <v>0</v>
      </c>
      <c r="L16" s="56">
        <f t="shared" si="1"/>
        <v>0</v>
      </c>
      <c r="M16" s="56">
        <f t="shared" si="1"/>
        <v>0</v>
      </c>
      <c r="N16" s="56">
        <f t="shared" si="1"/>
        <v>0</v>
      </c>
      <c r="O16" s="177">
        <f t="shared" si="1"/>
        <v>41270.06</v>
      </c>
    </row>
    <row r="17" spans="1:20">
      <c r="A17" s="50"/>
      <c r="B17" s="55"/>
      <c r="C17" s="84"/>
      <c r="D17" s="84"/>
      <c r="E17" s="84"/>
      <c r="F17" s="84"/>
      <c r="G17" s="84"/>
      <c r="H17" s="84"/>
      <c r="I17" s="84"/>
      <c r="J17" s="84"/>
      <c r="K17" s="84"/>
      <c r="L17" s="84"/>
      <c r="M17" s="84"/>
      <c r="N17" s="84"/>
      <c r="O17" s="178"/>
    </row>
    <row r="18" spans="1:20">
      <c r="A18" s="50" t="s">
        <v>54</v>
      </c>
      <c r="B18" s="55"/>
      <c r="C18" s="84"/>
      <c r="D18" s="84"/>
      <c r="E18" s="84"/>
      <c r="F18" s="84"/>
      <c r="G18" s="84"/>
      <c r="H18" s="84"/>
      <c r="I18" s="84"/>
      <c r="J18" s="84"/>
      <c r="K18" s="84"/>
      <c r="L18" s="84"/>
      <c r="M18" s="84"/>
      <c r="N18" s="84"/>
      <c r="O18" s="178"/>
    </row>
    <row r="19" spans="1:20">
      <c r="A19" s="53" t="s">
        <v>47</v>
      </c>
      <c r="B19" s="85" t="s">
        <v>141</v>
      </c>
      <c r="C19" s="207">
        <v>1918</v>
      </c>
      <c r="D19" s="207">
        <v>2291.7199999999998</v>
      </c>
      <c r="E19" s="207">
        <v>1628</v>
      </c>
      <c r="F19" s="207">
        <v>2303</v>
      </c>
      <c r="G19" s="207">
        <v>1283</v>
      </c>
      <c r="H19" s="86"/>
      <c r="I19" s="86"/>
      <c r="J19" s="86"/>
      <c r="K19" s="86"/>
      <c r="L19" s="86"/>
      <c r="M19" s="86"/>
      <c r="N19" s="54"/>
      <c r="O19" s="47">
        <f>SUM(C19:N19)</f>
        <v>9423.7199999999993</v>
      </c>
    </row>
    <row r="20" spans="1:20">
      <c r="A20" s="53" t="s">
        <v>48</v>
      </c>
      <c r="B20" s="85" t="s">
        <v>142</v>
      </c>
      <c r="C20" s="208">
        <v>530.30999999999995</v>
      </c>
      <c r="D20" s="208">
        <v>224.31</v>
      </c>
      <c r="E20" s="208">
        <v>924.31</v>
      </c>
      <c r="F20" s="208">
        <v>524.30999999999995</v>
      </c>
      <c r="G20" s="208">
        <v>566.5</v>
      </c>
      <c r="H20" s="86"/>
      <c r="I20" s="86"/>
      <c r="J20" s="86"/>
      <c r="K20" s="86"/>
      <c r="L20" s="86"/>
      <c r="M20" s="86"/>
      <c r="N20" s="54"/>
      <c r="O20" s="206">
        <f>SUM(C20:N20)</f>
        <v>2769.74</v>
      </c>
    </row>
    <row r="21" spans="1:20">
      <c r="A21" s="53" t="s">
        <v>49</v>
      </c>
      <c r="B21" s="85" t="s">
        <v>143</v>
      </c>
      <c r="C21" s="86"/>
      <c r="D21" s="86"/>
      <c r="E21" s="86"/>
      <c r="F21" s="86"/>
      <c r="G21" s="86"/>
      <c r="H21" s="86"/>
      <c r="I21" s="86"/>
      <c r="J21" s="86"/>
      <c r="K21" s="86"/>
      <c r="L21" s="86"/>
      <c r="M21" s="86"/>
      <c r="N21" s="54"/>
      <c r="O21" s="47">
        <f>SUM(C21:N21)</f>
        <v>0</v>
      </c>
    </row>
    <row r="22" spans="1:20">
      <c r="A22" s="53" t="s">
        <v>50</v>
      </c>
      <c r="B22" s="85" t="s">
        <v>144</v>
      </c>
      <c r="C22" s="86"/>
      <c r="D22" s="86"/>
      <c r="E22" s="86"/>
      <c r="F22" s="86"/>
      <c r="G22" s="86"/>
      <c r="H22" s="86"/>
      <c r="I22" s="86"/>
      <c r="J22" s="86"/>
      <c r="K22" s="86"/>
      <c r="L22" s="86"/>
      <c r="M22" s="86"/>
      <c r="N22" s="54"/>
      <c r="O22" s="47">
        <f>SUM(C22:N22)</f>
        <v>0</v>
      </c>
    </row>
    <row r="23" spans="1:20">
      <c r="A23" s="50" t="s">
        <v>55</v>
      </c>
      <c r="B23" s="55"/>
      <c r="C23" s="56">
        <f>SUM(C19:C22)</f>
        <v>2448.31</v>
      </c>
      <c r="D23" s="56">
        <f t="shared" ref="D23:O23" si="2">SUM(D19:D22)</f>
        <v>2516.0299999999997</v>
      </c>
      <c r="E23" s="56">
        <f t="shared" si="2"/>
        <v>2552.31</v>
      </c>
      <c r="F23" s="56">
        <f t="shared" si="2"/>
        <v>2827.31</v>
      </c>
      <c r="G23" s="56">
        <f t="shared" si="2"/>
        <v>1849.5</v>
      </c>
      <c r="H23" s="56">
        <f t="shared" si="2"/>
        <v>0</v>
      </c>
      <c r="I23" s="56">
        <f t="shared" si="2"/>
        <v>0</v>
      </c>
      <c r="J23" s="56">
        <f t="shared" si="2"/>
        <v>0</v>
      </c>
      <c r="K23" s="56">
        <f t="shared" si="2"/>
        <v>0</v>
      </c>
      <c r="L23" s="56">
        <f t="shared" si="2"/>
        <v>0</v>
      </c>
      <c r="M23" s="56">
        <f t="shared" si="2"/>
        <v>0</v>
      </c>
      <c r="N23" s="56">
        <f t="shared" si="2"/>
        <v>0</v>
      </c>
      <c r="O23" s="177">
        <f t="shared" si="2"/>
        <v>12193.46</v>
      </c>
      <c r="P23" s="55"/>
      <c r="Q23" s="55"/>
      <c r="S23" s="55"/>
      <c r="T23" s="55"/>
    </row>
    <row r="24" spans="1:20">
      <c r="C24" s="54"/>
      <c r="D24" s="54"/>
      <c r="E24" s="54"/>
      <c r="F24" s="54"/>
      <c r="G24" s="54"/>
      <c r="H24" s="54"/>
      <c r="I24" s="54"/>
      <c r="J24" s="54"/>
      <c r="K24" s="54"/>
      <c r="L24" s="54"/>
      <c r="M24" s="54"/>
      <c r="N24" s="54"/>
    </row>
    <row r="25" spans="1:20">
      <c r="A25" s="50" t="s">
        <v>56</v>
      </c>
      <c r="B25" s="55"/>
      <c r="C25" s="54"/>
      <c r="D25" s="54"/>
      <c r="E25" s="54"/>
      <c r="F25" s="54"/>
      <c r="G25" s="54"/>
      <c r="H25" s="54"/>
      <c r="I25" s="54"/>
      <c r="J25" s="54"/>
      <c r="K25" s="54"/>
      <c r="L25" s="54"/>
      <c r="M25" s="54"/>
      <c r="N25" s="54"/>
    </row>
    <row r="26" spans="1:20">
      <c r="A26" s="53" t="s">
        <v>57</v>
      </c>
      <c r="B26" s="49" t="s">
        <v>145</v>
      </c>
      <c r="C26" s="208"/>
      <c r="D26" s="208"/>
      <c r="E26" s="207">
        <v>7935.48</v>
      </c>
      <c r="F26" s="207">
        <v>2015.53</v>
      </c>
      <c r="G26" s="207">
        <v>2142.75</v>
      </c>
      <c r="H26" s="205"/>
      <c r="I26" s="205"/>
      <c r="J26" s="205"/>
      <c r="K26" s="205"/>
      <c r="L26" s="205"/>
      <c r="M26" s="205"/>
      <c r="N26" s="205"/>
      <c r="O26" s="47">
        <f>SUM(C26:N26)</f>
        <v>12093.76</v>
      </c>
    </row>
    <row r="27" spans="1:20">
      <c r="A27" s="50" t="s">
        <v>58</v>
      </c>
      <c r="C27" s="57">
        <f t="shared" ref="C27:O27" si="3">SUM(C26:C26)</f>
        <v>0</v>
      </c>
      <c r="D27" s="57">
        <f t="shared" si="3"/>
        <v>0</v>
      </c>
      <c r="E27" s="57">
        <f t="shared" si="3"/>
        <v>7935.48</v>
      </c>
      <c r="F27" s="57">
        <f t="shared" si="3"/>
        <v>2015.53</v>
      </c>
      <c r="G27" s="57">
        <f t="shared" si="3"/>
        <v>2142.75</v>
      </c>
      <c r="H27" s="57">
        <f t="shared" si="3"/>
        <v>0</v>
      </c>
      <c r="I27" s="57">
        <f t="shared" si="3"/>
        <v>0</v>
      </c>
      <c r="J27" s="57">
        <f t="shared" si="3"/>
        <v>0</v>
      </c>
      <c r="K27" s="57">
        <f t="shared" si="3"/>
        <v>0</v>
      </c>
      <c r="L27" s="57">
        <f>SUM(M26:M26)</f>
        <v>0</v>
      </c>
      <c r="M27" s="57">
        <f t="shared" si="3"/>
        <v>0</v>
      </c>
      <c r="N27" s="57">
        <f t="shared" si="3"/>
        <v>0</v>
      </c>
      <c r="O27" s="179">
        <f t="shared" si="3"/>
        <v>12093.76</v>
      </c>
    </row>
    <row r="28" spans="1:20">
      <c r="A28" s="53"/>
      <c r="C28" s="54"/>
      <c r="D28" s="54"/>
      <c r="E28" s="54"/>
      <c r="F28" s="54"/>
      <c r="G28" s="54"/>
      <c r="H28" s="54"/>
      <c r="I28" s="54"/>
      <c r="J28" s="54"/>
      <c r="K28" s="54"/>
      <c r="L28" s="54"/>
      <c r="M28" s="54"/>
      <c r="N28" s="54"/>
    </row>
    <row r="29" spans="1:20">
      <c r="A29" s="50" t="s">
        <v>59</v>
      </c>
      <c r="B29" s="55"/>
      <c r="C29" s="54"/>
      <c r="D29" s="54"/>
      <c r="E29" s="54"/>
      <c r="F29" s="54"/>
      <c r="G29" s="54"/>
      <c r="H29" s="54"/>
      <c r="I29" s="54"/>
      <c r="J29" s="54"/>
      <c r="K29" s="54"/>
      <c r="L29" s="54"/>
      <c r="M29" s="54"/>
      <c r="N29" s="54"/>
    </row>
    <row r="30" spans="1:20">
      <c r="A30" s="53" t="s">
        <v>60</v>
      </c>
      <c r="B30" s="49" t="s">
        <v>146</v>
      </c>
      <c r="C30" s="54"/>
      <c r="D30" s="54"/>
      <c r="E30" s="54"/>
      <c r="F30" s="54"/>
      <c r="G30" s="54"/>
      <c r="H30" s="54"/>
      <c r="I30" s="54"/>
      <c r="J30" s="54"/>
      <c r="K30" s="54"/>
      <c r="L30" s="54"/>
      <c r="M30" s="54"/>
      <c r="N30" s="54"/>
      <c r="O30" s="47">
        <f>SUM(C30:N30)</f>
        <v>0</v>
      </c>
    </row>
    <row r="31" spans="1:20">
      <c r="A31" s="50" t="s">
        <v>61</v>
      </c>
      <c r="C31" s="57">
        <f>SUM(C30)</f>
        <v>0</v>
      </c>
      <c r="D31" s="57">
        <f t="shared" ref="D31:O31" si="4">SUM(D30)</f>
        <v>0</v>
      </c>
      <c r="E31" s="57">
        <f t="shared" si="4"/>
        <v>0</v>
      </c>
      <c r="F31" s="57">
        <f t="shared" si="4"/>
        <v>0</v>
      </c>
      <c r="G31" s="57">
        <f t="shared" si="4"/>
        <v>0</v>
      </c>
      <c r="H31" s="57">
        <f t="shared" si="4"/>
        <v>0</v>
      </c>
      <c r="I31" s="57">
        <f t="shared" si="4"/>
        <v>0</v>
      </c>
      <c r="J31" s="57">
        <f t="shared" si="4"/>
        <v>0</v>
      </c>
      <c r="K31" s="57">
        <f t="shared" si="4"/>
        <v>0</v>
      </c>
      <c r="L31" s="57">
        <f t="shared" si="4"/>
        <v>0</v>
      </c>
      <c r="M31" s="57">
        <f t="shared" si="4"/>
        <v>0</v>
      </c>
      <c r="N31" s="57">
        <f t="shared" si="4"/>
        <v>0</v>
      </c>
      <c r="O31" s="179">
        <f t="shared" si="4"/>
        <v>0</v>
      </c>
    </row>
    <row r="32" spans="1:20">
      <c r="A32" s="53"/>
      <c r="C32" s="54"/>
      <c r="D32" s="54"/>
      <c r="E32" s="54"/>
      <c r="F32" s="54"/>
      <c r="G32" s="54"/>
      <c r="H32" s="54"/>
      <c r="I32" s="54"/>
      <c r="J32" s="54"/>
      <c r="K32" s="54"/>
      <c r="L32" s="54"/>
      <c r="M32" s="54"/>
      <c r="N32" s="54"/>
    </row>
    <row r="33" spans="1:20">
      <c r="A33" s="58" t="s">
        <v>147</v>
      </c>
      <c r="C33" s="54"/>
      <c r="D33" s="54"/>
      <c r="E33" s="54"/>
      <c r="F33" s="54"/>
      <c r="G33" s="54"/>
      <c r="H33" s="54"/>
      <c r="I33" s="54"/>
      <c r="J33" s="54"/>
      <c r="K33" s="54"/>
      <c r="L33" s="54"/>
      <c r="M33" s="54"/>
      <c r="N33" s="54"/>
    </row>
    <row r="34" spans="1:20">
      <c r="A34" s="53" t="s">
        <v>63</v>
      </c>
      <c r="B34" s="59" t="s">
        <v>148</v>
      </c>
      <c r="C34" s="207">
        <v>1220.25</v>
      </c>
      <c r="D34" s="54"/>
      <c r="E34" s="54"/>
      <c r="F34" s="54"/>
      <c r="G34" s="54"/>
      <c r="H34" s="54"/>
      <c r="I34" s="54"/>
      <c r="J34" s="54"/>
      <c r="K34" s="54"/>
      <c r="L34" s="54"/>
      <c r="M34" s="54">
        <v>0</v>
      </c>
      <c r="N34" s="54">
        <v>0</v>
      </c>
      <c r="O34" s="47">
        <f>SUM(C34:N34)</f>
        <v>1220.25</v>
      </c>
      <c r="P34" s="167"/>
    </row>
    <row r="35" spans="1:20">
      <c r="A35" s="53" t="s">
        <v>64</v>
      </c>
      <c r="B35" s="59" t="s">
        <v>149</v>
      </c>
      <c r="C35" s="54"/>
      <c r="D35" s="54"/>
      <c r="E35" s="54"/>
      <c r="F35" s="54"/>
      <c r="G35" s="54"/>
      <c r="H35" s="54"/>
      <c r="I35" s="54"/>
      <c r="J35" s="54"/>
      <c r="K35" s="54"/>
      <c r="L35" s="54"/>
      <c r="M35" s="54"/>
      <c r="N35" s="54"/>
      <c r="O35" s="47">
        <f>SUM(C35:N35)</f>
        <v>0</v>
      </c>
    </row>
    <row r="36" spans="1:20">
      <c r="A36" s="53" t="s">
        <v>65</v>
      </c>
      <c r="B36" s="59" t="s">
        <v>150</v>
      </c>
      <c r="C36" s="54"/>
      <c r="D36" s="54"/>
      <c r="E36" s="54"/>
      <c r="F36" s="54"/>
      <c r="G36" s="54"/>
      <c r="H36" s="54"/>
      <c r="I36" s="54"/>
      <c r="J36" s="54"/>
      <c r="K36" s="54"/>
      <c r="L36" s="54"/>
      <c r="M36" s="54"/>
      <c r="N36" s="54"/>
      <c r="O36" s="47">
        <f>SUM(C36:N36)</f>
        <v>0</v>
      </c>
    </row>
    <row r="37" spans="1:20">
      <c r="A37" s="58" t="s">
        <v>66</v>
      </c>
      <c r="C37" s="57">
        <f>SUM(C34:C36)</f>
        <v>1220.25</v>
      </c>
      <c r="D37" s="57">
        <f t="shared" ref="D37:O37" si="5">SUM(D34:D36)</f>
        <v>0</v>
      </c>
      <c r="E37" s="57">
        <f t="shared" si="5"/>
        <v>0</v>
      </c>
      <c r="F37" s="57">
        <f t="shared" si="5"/>
        <v>0</v>
      </c>
      <c r="G37" s="57">
        <f t="shared" si="5"/>
        <v>0</v>
      </c>
      <c r="H37" s="57">
        <f t="shared" si="5"/>
        <v>0</v>
      </c>
      <c r="I37" s="57">
        <f t="shared" si="5"/>
        <v>0</v>
      </c>
      <c r="J37" s="57">
        <f t="shared" si="5"/>
        <v>0</v>
      </c>
      <c r="K37" s="57">
        <f t="shared" si="5"/>
        <v>0</v>
      </c>
      <c r="L37" s="57">
        <f t="shared" si="5"/>
        <v>0</v>
      </c>
      <c r="M37" s="57">
        <f t="shared" si="5"/>
        <v>0</v>
      </c>
      <c r="N37" s="57">
        <f t="shared" si="5"/>
        <v>0</v>
      </c>
      <c r="O37" s="179">
        <f t="shared" si="5"/>
        <v>1220.25</v>
      </c>
    </row>
    <row r="38" spans="1:20">
      <c r="A38" s="53"/>
      <c r="C38" s="54"/>
      <c r="D38" s="54"/>
      <c r="E38" s="54"/>
      <c r="F38" s="54"/>
      <c r="G38" s="54"/>
      <c r="H38" s="54"/>
      <c r="I38" s="54"/>
      <c r="J38" s="54"/>
      <c r="K38" s="54"/>
      <c r="L38" s="54"/>
      <c r="M38" s="54"/>
      <c r="N38" s="54"/>
    </row>
    <row r="39" spans="1:20">
      <c r="A39" s="60" t="s">
        <v>67</v>
      </c>
      <c r="C39" s="57">
        <f t="shared" ref="C39:O39" si="6">C37+C31+C27+C16+C23</f>
        <v>10983.839999999998</v>
      </c>
      <c r="D39" s="57">
        <f t="shared" si="6"/>
        <v>10192.969999999999</v>
      </c>
      <c r="E39" s="57">
        <f t="shared" si="6"/>
        <v>18173.09</v>
      </c>
      <c r="F39" s="57">
        <f t="shared" si="6"/>
        <v>12176.16</v>
      </c>
      <c r="G39" s="57">
        <f t="shared" si="6"/>
        <v>15251.47</v>
      </c>
      <c r="H39" s="57">
        <f t="shared" si="6"/>
        <v>0</v>
      </c>
      <c r="I39" s="57">
        <f t="shared" si="6"/>
        <v>0</v>
      </c>
      <c r="J39" s="57">
        <f t="shared" si="6"/>
        <v>0</v>
      </c>
      <c r="K39" s="57">
        <f t="shared" si="6"/>
        <v>0</v>
      </c>
      <c r="L39" s="57">
        <f t="shared" si="6"/>
        <v>0</v>
      </c>
      <c r="M39" s="57">
        <f t="shared" si="6"/>
        <v>0</v>
      </c>
      <c r="N39" s="57">
        <f t="shared" si="6"/>
        <v>0</v>
      </c>
      <c r="O39" s="179">
        <f t="shared" si="6"/>
        <v>66777.53</v>
      </c>
      <c r="P39" s="49"/>
      <c r="Q39" s="49"/>
      <c r="S39" s="49"/>
      <c r="T39" s="49"/>
    </row>
    <row r="40" spans="1:20">
      <c r="A40" s="53"/>
      <c r="C40" s="54"/>
      <c r="D40" s="54"/>
      <c r="E40" s="54"/>
      <c r="F40" s="54"/>
      <c r="G40" s="54"/>
      <c r="H40" s="54"/>
      <c r="I40" s="54"/>
      <c r="J40" s="54"/>
      <c r="K40" s="54"/>
      <c r="L40" s="54"/>
      <c r="M40" s="54"/>
      <c r="N40" s="54"/>
    </row>
    <row r="41" spans="1:20">
      <c r="A41" s="61" t="s">
        <v>68</v>
      </c>
      <c r="C41" s="54"/>
      <c r="D41" s="54"/>
      <c r="E41" s="54"/>
      <c r="F41" s="54"/>
      <c r="G41" s="54"/>
      <c r="H41" s="54"/>
      <c r="I41" s="54"/>
      <c r="J41" s="54"/>
      <c r="K41" s="54"/>
      <c r="L41" s="54"/>
      <c r="M41" s="54"/>
      <c r="N41" s="54"/>
    </row>
    <row r="42" spans="1:20">
      <c r="A42" s="53" t="s">
        <v>69</v>
      </c>
      <c r="B42" s="49" t="s">
        <v>151</v>
      </c>
      <c r="C42" s="207">
        <v>1057.8</v>
      </c>
      <c r="D42" s="207">
        <v>1351.5</v>
      </c>
      <c r="E42" s="207">
        <v>1586.75</v>
      </c>
      <c r="F42" s="207">
        <v>1695</v>
      </c>
      <c r="G42" s="207">
        <v>1840.25</v>
      </c>
      <c r="H42" s="54"/>
      <c r="I42" s="54"/>
      <c r="J42" s="54"/>
      <c r="K42" s="54"/>
      <c r="L42" s="54"/>
      <c r="M42" s="54"/>
      <c r="N42" s="54"/>
      <c r="O42" s="47">
        <f>SUM(C42:N42)</f>
        <v>7531.3</v>
      </c>
    </row>
    <row r="43" spans="1:20">
      <c r="A43" s="60" t="s">
        <v>70</v>
      </c>
      <c r="C43" s="57">
        <f>SUM(C42)</f>
        <v>1057.8</v>
      </c>
      <c r="D43" s="57">
        <f t="shared" ref="D43:O43" si="7">SUM(D42)</f>
        <v>1351.5</v>
      </c>
      <c r="E43" s="57">
        <f t="shared" si="7"/>
        <v>1586.75</v>
      </c>
      <c r="F43" s="57">
        <f t="shared" si="7"/>
        <v>1695</v>
      </c>
      <c r="G43" s="57">
        <f t="shared" si="7"/>
        <v>1840.25</v>
      </c>
      <c r="H43" s="57">
        <f t="shared" si="7"/>
        <v>0</v>
      </c>
      <c r="I43" s="57">
        <f t="shared" si="7"/>
        <v>0</v>
      </c>
      <c r="J43" s="57">
        <f t="shared" si="7"/>
        <v>0</v>
      </c>
      <c r="K43" s="57">
        <f t="shared" si="7"/>
        <v>0</v>
      </c>
      <c r="L43" s="57">
        <f t="shared" si="7"/>
        <v>0</v>
      </c>
      <c r="M43" s="57">
        <f t="shared" si="7"/>
        <v>0</v>
      </c>
      <c r="N43" s="57">
        <f t="shared" si="7"/>
        <v>0</v>
      </c>
      <c r="O43" s="179">
        <f t="shared" si="7"/>
        <v>7531.3</v>
      </c>
    </row>
    <row r="44" spans="1:20">
      <c r="A44" s="53"/>
      <c r="C44" s="54"/>
      <c r="D44" s="54"/>
      <c r="E44" s="54"/>
      <c r="F44" s="54"/>
      <c r="G44" s="54"/>
      <c r="H44" s="54"/>
      <c r="I44" s="54"/>
      <c r="J44" s="54"/>
      <c r="K44" s="54"/>
      <c r="L44" s="54"/>
      <c r="M44" s="54"/>
      <c r="N44" s="54"/>
    </row>
    <row r="45" spans="1:20">
      <c r="A45" s="61" t="s">
        <v>71</v>
      </c>
      <c r="C45" s="54"/>
      <c r="D45" s="54"/>
      <c r="E45" s="54"/>
      <c r="F45" s="54"/>
      <c r="G45" s="54"/>
      <c r="H45" s="54"/>
      <c r="I45" s="54"/>
      <c r="J45" s="54"/>
      <c r="K45" s="54"/>
      <c r="L45" s="54"/>
      <c r="M45" s="54"/>
      <c r="N45" s="54"/>
    </row>
    <row r="46" spans="1:20">
      <c r="A46" s="53" t="s">
        <v>72</v>
      </c>
      <c r="B46" s="59" t="s">
        <v>152</v>
      </c>
      <c r="C46" s="54"/>
      <c r="D46" s="54"/>
      <c r="E46" s="54"/>
      <c r="F46" s="207">
        <v>2544.92</v>
      </c>
      <c r="G46" s="207">
        <v>1133.19</v>
      </c>
      <c r="H46" s="54"/>
      <c r="I46" s="54"/>
      <c r="J46" s="54"/>
      <c r="K46" s="54"/>
      <c r="L46" s="54"/>
      <c r="M46" s="54"/>
      <c r="N46" s="54"/>
      <c r="O46" s="47">
        <f>SUM(C46:N46)</f>
        <v>3678.11</v>
      </c>
    </row>
    <row r="47" spans="1:20">
      <c r="A47" s="53" t="s">
        <v>73</v>
      </c>
      <c r="B47" s="59" t="s">
        <v>153</v>
      </c>
      <c r="C47" s="208">
        <v>33.840000000000003</v>
      </c>
      <c r="D47" s="208">
        <v>22.42</v>
      </c>
      <c r="E47" s="208">
        <v>17.399999999999999</v>
      </c>
      <c r="F47" s="208">
        <v>12.34</v>
      </c>
      <c r="G47" s="208">
        <v>19.05</v>
      </c>
      <c r="H47" s="54"/>
      <c r="I47" s="54"/>
      <c r="J47" s="54"/>
      <c r="K47" s="54"/>
      <c r="L47" s="54"/>
      <c r="M47" s="54"/>
      <c r="N47" s="54"/>
      <c r="O47" s="47">
        <f>SUM(C47:N47)</f>
        <v>105.05</v>
      </c>
    </row>
    <row r="48" spans="1:20">
      <c r="A48" s="60" t="s">
        <v>74</v>
      </c>
      <c r="C48" s="57">
        <f>SUM(C46:C47)</f>
        <v>33.840000000000003</v>
      </c>
      <c r="D48" s="57">
        <f t="shared" ref="D48:O48" si="8">SUM(D46:D47)</f>
        <v>22.42</v>
      </c>
      <c r="E48" s="57">
        <f t="shared" si="8"/>
        <v>17.399999999999999</v>
      </c>
      <c r="F48" s="57">
        <f t="shared" si="8"/>
        <v>2557.2600000000002</v>
      </c>
      <c r="G48" s="57">
        <f t="shared" si="8"/>
        <v>1152.24</v>
      </c>
      <c r="H48" s="57">
        <f t="shared" si="8"/>
        <v>0</v>
      </c>
      <c r="I48" s="57">
        <f t="shared" si="8"/>
        <v>0</v>
      </c>
      <c r="J48" s="57">
        <f t="shared" si="8"/>
        <v>0</v>
      </c>
      <c r="K48" s="57">
        <f t="shared" si="8"/>
        <v>0</v>
      </c>
      <c r="L48" s="57">
        <f t="shared" si="8"/>
        <v>0</v>
      </c>
      <c r="M48" s="57">
        <f t="shared" si="8"/>
        <v>0</v>
      </c>
      <c r="N48" s="57">
        <f t="shared" si="8"/>
        <v>0</v>
      </c>
      <c r="O48" s="179">
        <f t="shared" si="8"/>
        <v>3783.1600000000003</v>
      </c>
    </row>
    <row r="49" spans="1:15">
      <c r="C49" s="54"/>
      <c r="D49" s="54"/>
      <c r="E49" s="54"/>
      <c r="F49" s="54"/>
      <c r="G49" s="54"/>
      <c r="H49" s="54"/>
      <c r="I49" s="54"/>
      <c r="J49" s="54"/>
      <c r="K49" s="54"/>
      <c r="L49" s="54"/>
      <c r="M49" s="54"/>
      <c r="N49" s="54"/>
    </row>
    <row r="50" spans="1:15" ht="14.65" thickBot="1">
      <c r="A50" s="50" t="s">
        <v>75</v>
      </c>
      <c r="C50" s="62">
        <f>C48+C43+C39</f>
        <v>12075.479999999998</v>
      </c>
      <c r="D50" s="62">
        <f t="shared" ref="D50:O50" si="9">D48+D43+D39</f>
        <v>11566.89</v>
      </c>
      <c r="E50" s="62">
        <f t="shared" si="9"/>
        <v>19777.240000000002</v>
      </c>
      <c r="F50" s="62">
        <f t="shared" si="9"/>
        <v>16428.419999999998</v>
      </c>
      <c r="G50" s="62">
        <f t="shared" si="9"/>
        <v>18243.96</v>
      </c>
      <c r="H50" s="62">
        <f t="shared" si="9"/>
        <v>0</v>
      </c>
      <c r="I50" s="62">
        <f t="shared" si="9"/>
        <v>0</v>
      </c>
      <c r="J50" s="62">
        <f t="shared" si="9"/>
        <v>0</v>
      </c>
      <c r="K50" s="62">
        <f t="shared" si="9"/>
        <v>0</v>
      </c>
      <c r="L50" s="62">
        <f t="shared" si="9"/>
        <v>0</v>
      </c>
      <c r="M50" s="62">
        <f t="shared" si="9"/>
        <v>0</v>
      </c>
      <c r="N50" s="62">
        <f t="shared" si="9"/>
        <v>0</v>
      </c>
      <c r="O50" s="180">
        <f t="shared" si="9"/>
        <v>78091.990000000005</v>
      </c>
    </row>
    <row r="51" spans="1:15">
      <c r="C51" s="54"/>
      <c r="D51" s="54"/>
      <c r="E51" s="54"/>
      <c r="F51" s="54"/>
      <c r="G51" s="54"/>
      <c r="H51" s="54"/>
      <c r="I51" s="54"/>
      <c r="J51" s="54"/>
      <c r="K51" s="54"/>
      <c r="L51" s="54"/>
      <c r="M51" s="54"/>
      <c r="N51" s="54"/>
    </row>
    <row r="52" spans="1:15">
      <c r="A52" s="44" t="s">
        <v>76</v>
      </c>
      <c r="C52" s="54"/>
      <c r="D52" s="54"/>
      <c r="E52" s="54"/>
      <c r="F52" s="54"/>
      <c r="G52" s="54"/>
      <c r="H52" s="54"/>
      <c r="I52" s="54"/>
      <c r="J52" s="54"/>
      <c r="K52" s="54"/>
      <c r="L52" s="54"/>
      <c r="M52" s="54"/>
      <c r="N52" s="54"/>
    </row>
    <row r="53" spans="1:15">
      <c r="A53" s="53" t="s">
        <v>77</v>
      </c>
      <c r="B53" s="49" t="s">
        <v>154</v>
      </c>
      <c r="C53" s="208">
        <v>310</v>
      </c>
      <c r="D53" s="54"/>
      <c r="E53" s="54"/>
      <c r="F53" s="54"/>
      <c r="G53" s="54"/>
      <c r="H53" s="54"/>
      <c r="I53" s="54"/>
      <c r="J53" s="54"/>
      <c r="K53" s="54"/>
      <c r="L53" s="54"/>
      <c r="M53" s="54"/>
      <c r="N53" s="54"/>
      <c r="O53" s="47">
        <f t="shared" ref="O53:O58" si="10">SUM(C53:N53)</f>
        <v>310</v>
      </c>
    </row>
    <row r="54" spans="1:15">
      <c r="A54" s="53" t="s">
        <v>78</v>
      </c>
      <c r="B54" s="59" t="s">
        <v>155</v>
      </c>
      <c r="C54" s="54"/>
      <c r="D54" s="54"/>
      <c r="E54" s="54"/>
      <c r="F54" s="54"/>
      <c r="G54" s="54"/>
      <c r="H54" s="54"/>
      <c r="I54" s="54"/>
      <c r="J54" s="54"/>
      <c r="K54" s="54"/>
      <c r="L54" s="54"/>
      <c r="M54" s="54"/>
      <c r="N54" s="54"/>
      <c r="O54" s="47">
        <f t="shared" si="10"/>
        <v>0</v>
      </c>
    </row>
    <row r="55" spans="1:15">
      <c r="A55" s="53" t="s">
        <v>79</v>
      </c>
      <c r="B55" s="59" t="s">
        <v>156</v>
      </c>
      <c r="C55" s="54"/>
      <c r="D55" s="54"/>
      <c r="E55" s="54"/>
      <c r="F55" s="54"/>
      <c r="G55" s="54"/>
      <c r="H55" s="54"/>
      <c r="I55" s="54"/>
      <c r="J55" s="54"/>
      <c r="K55" s="54"/>
      <c r="L55" s="54"/>
      <c r="M55" s="54"/>
      <c r="N55" s="54"/>
      <c r="O55" s="47">
        <f t="shared" si="10"/>
        <v>0</v>
      </c>
    </row>
    <row r="56" spans="1:15">
      <c r="A56" s="53" t="s">
        <v>80</v>
      </c>
      <c r="B56" s="59" t="s">
        <v>157</v>
      </c>
      <c r="C56" s="54"/>
      <c r="D56" s="54"/>
      <c r="E56" s="54"/>
      <c r="F56" s="54"/>
      <c r="G56" s="54"/>
      <c r="H56" s="54"/>
      <c r="I56" s="54"/>
      <c r="J56" s="54"/>
      <c r="K56" s="54"/>
      <c r="L56" s="54"/>
      <c r="M56" s="54"/>
      <c r="N56" s="54"/>
      <c r="O56" s="47">
        <f t="shared" si="10"/>
        <v>0</v>
      </c>
    </row>
    <row r="57" spans="1:15">
      <c r="A57" s="53" t="s">
        <v>158</v>
      </c>
      <c r="B57" s="59"/>
      <c r="C57" s="13"/>
      <c r="D57" s="13"/>
      <c r="E57" s="13"/>
      <c r="F57" s="13"/>
      <c r="G57" s="13"/>
      <c r="H57" s="13"/>
      <c r="I57" s="54"/>
      <c r="J57" s="13"/>
      <c r="K57" s="13"/>
      <c r="L57" s="13"/>
      <c r="M57" s="13"/>
      <c r="N57" s="13"/>
      <c r="O57" s="47">
        <f t="shared" si="10"/>
        <v>0</v>
      </c>
    </row>
    <row r="58" spans="1:15" ht="42.75">
      <c r="A58" s="53" t="s">
        <v>81</v>
      </c>
      <c r="B58" s="63" t="s">
        <v>159</v>
      </c>
      <c r="C58" s="54"/>
      <c r="D58" s="54"/>
      <c r="E58" s="54"/>
      <c r="F58" s="54"/>
      <c r="G58" s="54"/>
      <c r="H58" s="54"/>
      <c r="I58" s="54"/>
      <c r="J58" s="54"/>
      <c r="K58" s="54"/>
      <c r="L58" s="54"/>
      <c r="M58" s="54"/>
      <c r="N58" s="54"/>
      <c r="O58" s="47">
        <f t="shared" si="10"/>
        <v>0</v>
      </c>
    </row>
    <row r="59" spans="1:15" ht="14.65" thickBot="1">
      <c r="A59" s="50" t="s">
        <v>82</v>
      </c>
      <c r="B59" s="55"/>
      <c r="C59" s="64">
        <f t="shared" ref="C59:O59" si="11">SUM(C53:C58)</f>
        <v>310</v>
      </c>
      <c r="D59" s="64">
        <f t="shared" si="11"/>
        <v>0</v>
      </c>
      <c r="E59" s="64">
        <f t="shared" si="11"/>
        <v>0</v>
      </c>
      <c r="F59" s="64">
        <f t="shared" si="11"/>
        <v>0</v>
      </c>
      <c r="G59" s="64">
        <f t="shared" si="11"/>
        <v>0</v>
      </c>
      <c r="H59" s="64">
        <f t="shared" si="11"/>
        <v>0</v>
      </c>
      <c r="I59" s="64">
        <f t="shared" si="11"/>
        <v>0</v>
      </c>
      <c r="J59" s="64">
        <f t="shared" si="11"/>
        <v>0</v>
      </c>
      <c r="K59" s="64">
        <f t="shared" si="11"/>
        <v>0</v>
      </c>
      <c r="L59" s="64">
        <f t="shared" si="11"/>
        <v>0</v>
      </c>
      <c r="M59" s="64">
        <f t="shared" si="11"/>
        <v>0</v>
      </c>
      <c r="N59" s="64">
        <f t="shared" si="11"/>
        <v>0</v>
      </c>
      <c r="O59" s="181">
        <f t="shared" si="11"/>
        <v>310</v>
      </c>
    </row>
    <row r="60" spans="1:15">
      <c r="C60" s="54"/>
      <c r="D60" s="54"/>
      <c r="E60" s="54"/>
      <c r="F60" s="54"/>
      <c r="G60" s="54"/>
      <c r="H60" s="54"/>
      <c r="I60" s="54"/>
      <c r="J60" s="54"/>
      <c r="K60" s="54"/>
      <c r="L60" s="54"/>
      <c r="M60" s="54"/>
      <c r="N60" s="54"/>
    </row>
    <row r="61" spans="1:15" ht="14.65" thickBot="1">
      <c r="A61" s="50" t="s">
        <v>83</v>
      </c>
      <c r="B61" s="55"/>
      <c r="C61" s="64">
        <f t="shared" ref="C61:O61" si="12">C50+C59</f>
        <v>12385.479999999998</v>
      </c>
      <c r="D61" s="64">
        <f t="shared" si="12"/>
        <v>11566.89</v>
      </c>
      <c r="E61" s="64">
        <f t="shared" si="12"/>
        <v>19777.240000000002</v>
      </c>
      <c r="F61" s="64">
        <f t="shared" si="12"/>
        <v>16428.419999999998</v>
      </c>
      <c r="G61" s="64">
        <f t="shared" si="12"/>
        <v>18243.96</v>
      </c>
      <c r="H61" s="64">
        <f t="shared" si="12"/>
        <v>0</v>
      </c>
      <c r="I61" s="64">
        <f t="shared" si="12"/>
        <v>0</v>
      </c>
      <c r="J61" s="64">
        <f t="shared" si="12"/>
        <v>0</v>
      </c>
      <c r="K61" s="64">
        <f t="shared" si="12"/>
        <v>0</v>
      </c>
      <c r="L61" s="64">
        <f t="shared" si="12"/>
        <v>0</v>
      </c>
      <c r="M61" s="64">
        <f t="shared" si="12"/>
        <v>0</v>
      </c>
      <c r="N61" s="64">
        <f t="shared" si="12"/>
        <v>0</v>
      </c>
      <c r="O61" s="181">
        <f t="shared" si="12"/>
        <v>78401.990000000005</v>
      </c>
    </row>
    <row r="62" spans="1:15">
      <c r="C62" s="54"/>
      <c r="D62" s="54"/>
      <c r="E62" s="54"/>
      <c r="F62" s="54"/>
      <c r="G62" s="54"/>
      <c r="H62" s="54"/>
      <c r="I62" s="54"/>
      <c r="J62" s="54"/>
      <c r="K62" s="54"/>
      <c r="L62" s="54"/>
      <c r="M62" s="54"/>
      <c r="N62" s="54"/>
    </row>
    <row r="63" spans="1:15" s="65" customFormat="1" ht="14.65" thickBot="1">
      <c r="A63" s="65" t="s">
        <v>160</v>
      </c>
      <c r="B63" s="66"/>
      <c r="C63" s="67">
        <f>C61-'Expend - General'!C63</f>
        <v>1761.9699999999957</v>
      </c>
      <c r="D63" s="67">
        <f>D61-'Expend - General'!D63</f>
        <v>-1943.8500000000004</v>
      </c>
      <c r="E63" s="67">
        <f>E61-'Expend - General'!E63</f>
        <v>-4208.7899999999972</v>
      </c>
      <c r="F63" s="67">
        <f>F61-'Expend - General'!F63</f>
        <v>-3441.75</v>
      </c>
      <c r="G63" s="67">
        <f>G61-'Expend - General'!G63</f>
        <v>1619.2999999999956</v>
      </c>
      <c r="H63" s="67">
        <f>H61-'Expend - General'!H63</f>
        <v>0</v>
      </c>
      <c r="I63" s="67">
        <f>I61-'Expend - General'!I63</f>
        <v>0</v>
      </c>
      <c r="J63" s="67">
        <f>J61-'Expend - General'!J63</f>
        <v>0</v>
      </c>
      <c r="K63" s="67">
        <f>K61-'Expend - General'!K63</f>
        <v>0</v>
      </c>
      <c r="L63" s="67">
        <f>L61-'Expend - General'!L63</f>
        <v>0</v>
      </c>
      <c r="M63" s="67">
        <f>M61-'Expend - General'!M63</f>
        <v>0</v>
      </c>
      <c r="N63" s="67">
        <f>N61-'Expend - General'!N63</f>
        <v>0</v>
      </c>
      <c r="O63" s="101">
        <f>O61-'Expend - General'!O63</f>
        <v>-6213.1199999999953</v>
      </c>
    </row>
  </sheetData>
  <pageMargins left="0.7" right="0.7" top="0.75" bottom="0.75" header="0.3" footer="0.3"/>
  <pageSetup paperSize="9" scale="50" orientation="landscape" verticalDpi="300" r:id="rId1"/>
  <headerFooter alignWithMargins="0">
    <oddHeader>&amp;A</oddHead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S65"/>
  <sheetViews>
    <sheetView zoomScale="90" zoomScaleNormal="90" workbookViewId="0">
      <selection activeCell="H15" sqref="H15:N15"/>
    </sheetView>
  </sheetViews>
  <sheetFormatPr defaultColWidth="9" defaultRowHeight="14.25"/>
  <cols>
    <col min="1" max="1" width="34.42578125" bestFit="1" customWidth="1"/>
    <col min="2" max="2" width="13" style="5" bestFit="1" customWidth="1"/>
    <col min="3" max="14" width="9.28515625" style="13" customWidth="1"/>
    <col min="15" max="15" width="11" style="13" bestFit="1" customWidth="1"/>
    <col min="17" max="17" width="30.5703125" bestFit="1" customWidth="1"/>
    <col min="18" max="18" width="27.28515625" bestFit="1" customWidth="1"/>
  </cols>
  <sheetData>
    <row r="1" spans="1:15">
      <c r="A1" s="1" t="s">
        <v>0</v>
      </c>
      <c r="B1" s="2"/>
    </row>
    <row r="2" spans="1:15">
      <c r="A2" s="1" t="s">
        <v>10</v>
      </c>
      <c r="B2" s="2"/>
    </row>
    <row r="3" spans="1:15">
      <c r="A3" s="197">
        <f>'Income - Overall'!A3</f>
        <v>46173</v>
      </c>
      <c r="B3" s="2"/>
    </row>
    <row r="4" spans="1:15">
      <c r="A4" s="1" t="s">
        <v>161</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82">
        <f>SUM(C8:N8)</f>
        <v>0</v>
      </c>
    </row>
    <row r="9" spans="1:15">
      <c r="A9" s="18" t="s">
        <v>89</v>
      </c>
      <c r="B9" s="8"/>
      <c r="O9" s="182">
        <f>SUM(C9:N9)</f>
        <v>0</v>
      </c>
    </row>
    <row r="10" spans="1:15" ht="14.65" thickBot="1">
      <c r="A10" s="7" t="s">
        <v>90</v>
      </c>
      <c r="B10" s="8"/>
      <c r="C10" s="28">
        <f t="shared" ref="C10:O10" si="0">SUM(C8:C9)</f>
        <v>0</v>
      </c>
      <c r="D10" s="28">
        <f t="shared" si="0"/>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183">
        <f t="shared" si="0"/>
        <v>0</v>
      </c>
    </row>
    <row r="11" spans="1:15">
      <c r="A11" s="7"/>
      <c r="B11" s="8"/>
      <c r="O11" s="182"/>
    </row>
    <row r="12" spans="1:15">
      <c r="A12" s="1" t="s">
        <v>91</v>
      </c>
      <c r="B12" s="8"/>
      <c r="O12" s="182"/>
    </row>
    <row r="13" spans="1:15">
      <c r="A13" s="15" t="s">
        <v>92</v>
      </c>
      <c r="B13" s="5" t="s">
        <v>163</v>
      </c>
      <c r="D13" s="207">
        <v>6400.1</v>
      </c>
      <c r="E13" s="207">
        <v>6400.1</v>
      </c>
      <c r="F13" s="207">
        <v>6400.1</v>
      </c>
      <c r="G13" s="207">
        <v>6400.1</v>
      </c>
      <c r="O13" s="182">
        <f>SUM(C13:N13)</f>
        <v>25600.400000000001</v>
      </c>
    </row>
    <row r="14" spans="1:15">
      <c r="A14" s="15" t="s">
        <v>164</v>
      </c>
      <c r="B14" s="17" t="s">
        <v>165</v>
      </c>
      <c r="E14" s="207">
        <v>3367</v>
      </c>
      <c r="O14" s="182">
        <f>SUM(C14:N14)</f>
        <v>3367</v>
      </c>
    </row>
    <row r="15" spans="1:15">
      <c r="A15" s="15" t="s">
        <v>94</v>
      </c>
      <c r="B15" s="5" t="s">
        <v>166</v>
      </c>
      <c r="C15" s="13">
        <f t="shared" ref="C15:N15" si="1">SUM(C16:C17)</f>
        <v>287.5</v>
      </c>
      <c r="D15" s="13">
        <f t="shared" si="1"/>
        <v>11.5</v>
      </c>
      <c r="E15" s="13">
        <f t="shared" si="1"/>
        <v>11.5</v>
      </c>
      <c r="F15" s="13">
        <f t="shared" si="1"/>
        <v>379.5</v>
      </c>
      <c r="G15" s="13">
        <f t="shared" si="1"/>
        <v>11.5</v>
      </c>
      <c r="H15" s="13">
        <f t="shared" si="1"/>
        <v>0</v>
      </c>
      <c r="I15" s="13">
        <f t="shared" si="1"/>
        <v>0</v>
      </c>
      <c r="J15" s="13">
        <f t="shared" si="1"/>
        <v>0</v>
      </c>
      <c r="K15" s="13">
        <f t="shared" si="1"/>
        <v>0</v>
      </c>
      <c r="L15" s="13">
        <f t="shared" si="1"/>
        <v>0</v>
      </c>
      <c r="M15" s="13">
        <f t="shared" si="1"/>
        <v>0</v>
      </c>
      <c r="N15" s="13">
        <f t="shared" si="1"/>
        <v>0</v>
      </c>
      <c r="O15" s="182">
        <f>SUM(C15:N15)</f>
        <v>701.5</v>
      </c>
    </row>
    <row r="16" spans="1:15" s="19" customFormat="1">
      <c r="A16" s="20" t="s">
        <v>95</v>
      </c>
      <c r="B16" s="21" t="s">
        <v>167</v>
      </c>
      <c r="C16" s="208">
        <v>11.5</v>
      </c>
      <c r="D16" s="208">
        <v>11.5</v>
      </c>
      <c r="E16" s="208">
        <v>11.5</v>
      </c>
      <c r="F16" s="208">
        <v>11.5</v>
      </c>
      <c r="G16" s="208">
        <v>11.5</v>
      </c>
      <c r="H16" s="32"/>
      <c r="I16" s="32"/>
      <c r="J16" s="32"/>
      <c r="K16" s="32"/>
      <c r="L16" s="32"/>
      <c r="M16" s="32"/>
      <c r="N16" s="32"/>
      <c r="O16" s="186">
        <f>SUM(C16:N16)</f>
        <v>57.5</v>
      </c>
    </row>
    <row r="17" spans="1:19" s="19" customFormat="1">
      <c r="A17" s="22" t="s">
        <v>96</v>
      </c>
      <c r="B17" s="23" t="s">
        <v>168</v>
      </c>
      <c r="C17" s="208">
        <v>276</v>
      </c>
      <c r="D17" s="34"/>
      <c r="E17" s="34"/>
      <c r="F17" s="208">
        <v>368</v>
      </c>
      <c r="G17" s="34"/>
      <c r="H17" s="34"/>
      <c r="I17" s="34"/>
      <c r="J17" s="34"/>
      <c r="K17" s="34"/>
      <c r="L17" s="34"/>
      <c r="M17" s="34"/>
      <c r="N17" s="34"/>
      <c r="O17" s="187">
        <f>SUM(C17:N17)</f>
        <v>644</v>
      </c>
    </row>
    <row r="18" spans="1:19" s="19" customFormat="1" ht="8.65" customHeight="1">
      <c r="A18" s="38"/>
      <c r="B18" s="25"/>
      <c r="C18" s="36"/>
      <c r="D18" s="36"/>
      <c r="E18" s="36"/>
      <c r="F18" s="36"/>
      <c r="G18" s="36"/>
      <c r="H18" s="36"/>
      <c r="I18" s="36"/>
      <c r="J18" s="36"/>
      <c r="K18" s="36"/>
      <c r="L18" s="36"/>
      <c r="M18" s="36"/>
      <c r="N18" s="36"/>
      <c r="O18" s="184"/>
    </row>
    <row r="19" spans="1:19">
      <c r="A19" s="15" t="s">
        <v>97</v>
      </c>
      <c r="B19" s="9" t="s">
        <v>169</v>
      </c>
      <c r="O19" s="182">
        <f>SUM(C19:N19)</f>
        <v>0</v>
      </c>
    </row>
    <row r="20" spans="1:19">
      <c r="A20" s="15" t="s">
        <v>98</v>
      </c>
      <c r="B20" s="9" t="s">
        <v>170</v>
      </c>
      <c r="O20" s="182">
        <f>SUM(C20:N20)</f>
        <v>0</v>
      </c>
    </row>
    <row r="21" spans="1:19">
      <c r="A21" s="15" t="s">
        <v>99</v>
      </c>
      <c r="B21" s="5" t="s">
        <v>166</v>
      </c>
      <c r="C21" s="13">
        <f t="shared" ref="C21:J21" si="2">SUM(C22:C32)</f>
        <v>6428.0700000000006</v>
      </c>
      <c r="D21" s="13">
        <f t="shared" si="2"/>
        <v>2970.33</v>
      </c>
      <c r="E21" s="13">
        <f t="shared" si="2"/>
        <v>9607.119999999999</v>
      </c>
      <c r="F21" s="13">
        <f t="shared" si="2"/>
        <v>7061.46</v>
      </c>
      <c r="G21" s="13">
        <f t="shared" si="2"/>
        <v>6404.02</v>
      </c>
      <c r="H21" s="13">
        <f t="shared" si="2"/>
        <v>0</v>
      </c>
      <c r="I21" s="13">
        <f t="shared" si="2"/>
        <v>0</v>
      </c>
      <c r="J21" s="13">
        <f t="shared" si="2"/>
        <v>0</v>
      </c>
      <c r="K21" s="13">
        <f t="shared" ref="K21" si="3">SUM(K22:K32)</f>
        <v>0</v>
      </c>
      <c r="L21" s="13">
        <f t="shared" ref="L21" si="4">SUM(L22:L32)</f>
        <v>0</v>
      </c>
      <c r="M21" s="13">
        <f t="shared" ref="M21" si="5">SUM(M22:M32)</f>
        <v>0</v>
      </c>
      <c r="N21" s="13">
        <f t="shared" ref="N21" si="6">SUM(N22:N32)</f>
        <v>0</v>
      </c>
      <c r="O21" s="182">
        <f>SUM(O22:O32)</f>
        <v>32471</v>
      </c>
    </row>
    <row r="22" spans="1:19" s="19" customFormat="1">
      <c r="A22" s="20" t="s">
        <v>100</v>
      </c>
      <c r="B22" s="21" t="s">
        <v>171</v>
      </c>
      <c r="C22" s="32"/>
      <c r="D22" s="32"/>
      <c r="E22" s="32"/>
      <c r="F22" s="32"/>
      <c r="G22" s="32"/>
      <c r="H22" s="32"/>
      <c r="I22" s="32"/>
      <c r="J22" s="32"/>
      <c r="K22" s="32"/>
      <c r="L22" s="32"/>
      <c r="M22" s="32"/>
      <c r="N22" s="32"/>
      <c r="O22" s="186">
        <f t="shared" ref="O22:O31" si="7">SUM(C22:N22)</f>
        <v>0</v>
      </c>
      <c r="P22"/>
      <c r="Q22"/>
      <c r="R22"/>
      <c r="S22"/>
    </row>
    <row r="23" spans="1:19" s="19" customFormat="1">
      <c r="A23" s="24" t="s">
        <v>101</v>
      </c>
      <c r="B23" s="25" t="s">
        <v>172</v>
      </c>
      <c r="C23" s="208">
        <v>524</v>
      </c>
      <c r="D23" s="208"/>
      <c r="E23" s="207">
        <v>1048.4000000000001</v>
      </c>
      <c r="F23" s="208">
        <v>599.6</v>
      </c>
      <c r="G23" s="208">
        <v>559.6</v>
      </c>
      <c r="H23" s="36"/>
      <c r="I23" s="36"/>
      <c r="J23" s="36"/>
      <c r="K23" s="36"/>
      <c r="L23" s="36"/>
      <c r="M23" s="36"/>
      <c r="N23" s="36"/>
      <c r="O23" s="185">
        <f t="shared" si="7"/>
        <v>2731.6</v>
      </c>
      <c r="P23"/>
      <c r="Q23"/>
      <c r="R23"/>
      <c r="S23"/>
    </row>
    <row r="24" spans="1:19" s="19" customFormat="1">
      <c r="A24" s="24" t="s">
        <v>102</v>
      </c>
      <c r="B24" s="25" t="s">
        <v>173</v>
      </c>
      <c r="C24" s="208">
        <v>351.47</v>
      </c>
      <c r="D24" s="208">
        <v>351.47</v>
      </c>
      <c r="E24" s="208">
        <v>395.15</v>
      </c>
      <c r="F24" s="208">
        <v>323.25</v>
      </c>
      <c r="G24" s="208">
        <v>295.39</v>
      </c>
      <c r="H24" s="36"/>
      <c r="I24" s="36"/>
      <c r="J24" s="36"/>
      <c r="K24" s="36"/>
      <c r="L24" s="36"/>
      <c r="M24" s="36"/>
      <c r="N24" s="36"/>
      <c r="O24" s="185">
        <f t="shared" si="7"/>
        <v>1716.73</v>
      </c>
      <c r="P24"/>
      <c r="Q24"/>
      <c r="R24"/>
      <c r="S24"/>
    </row>
    <row r="25" spans="1:19" s="19" customFormat="1">
      <c r="A25" s="24" t="s">
        <v>103</v>
      </c>
      <c r="B25" s="25" t="s">
        <v>174</v>
      </c>
      <c r="C25" s="36"/>
      <c r="D25" s="36"/>
      <c r="E25" s="36"/>
      <c r="F25" s="36"/>
      <c r="G25" s="36"/>
      <c r="H25" s="36"/>
      <c r="I25" s="36"/>
      <c r="J25" s="36"/>
      <c r="K25" s="36"/>
      <c r="L25" s="36"/>
      <c r="M25" s="36"/>
      <c r="N25" s="36"/>
      <c r="O25" s="185">
        <f t="shared" si="7"/>
        <v>0</v>
      </c>
      <c r="P25"/>
      <c r="Q25"/>
      <c r="R25"/>
      <c r="S25"/>
    </row>
    <row r="26" spans="1:19" s="19" customFormat="1">
      <c r="A26" s="24" t="s">
        <v>104</v>
      </c>
      <c r="B26" s="25" t="s">
        <v>175</v>
      </c>
      <c r="C26" s="207">
        <v>1379.58</v>
      </c>
      <c r="D26" s="207">
        <v>1379.59</v>
      </c>
      <c r="E26" s="207">
        <v>1460.98</v>
      </c>
      <c r="F26" s="207">
        <v>1407.81</v>
      </c>
      <c r="G26" s="207">
        <v>1407.61</v>
      </c>
      <c r="H26" s="36"/>
      <c r="I26" s="36"/>
      <c r="J26" s="36"/>
      <c r="K26" s="36"/>
      <c r="L26" s="36"/>
      <c r="M26" s="36"/>
      <c r="N26" s="36"/>
      <c r="O26" s="185">
        <f t="shared" si="7"/>
        <v>7035.5699999999988</v>
      </c>
      <c r="P26"/>
      <c r="Q26"/>
      <c r="R26"/>
      <c r="S26"/>
    </row>
    <row r="27" spans="1:19" s="19" customFormat="1">
      <c r="A27" s="24" t="s">
        <v>105</v>
      </c>
      <c r="B27" s="25" t="s">
        <v>176</v>
      </c>
      <c r="C27" s="207">
        <v>1988.63</v>
      </c>
      <c r="D27" s="208"/>
      <c r="E27" s="207">
        <v>4270.16</v>
      </c>
      <c r="F27" s="207">
        <v>2089.0500000000002</v>
      </c>
      <c r="G27" s="207">
        <v>2088.84</v>
      </c>
      <c r="H27" s="36"/>
      <c r="I27" s="36"/>
      <c r="J27" s="36"/>
      <c r="K27" s="36"/>
      <c r="L27" s="36"/>
      <c r="M27" s="36"/>
      <c r="N27" s="36"/>
      <c r="O27" s="185">
        <f t="shared" si="7"/>
        <v>10436.68</v>
      </c>
      <c r="P27"/>
      <c r="Q27"/>
      <c r="R27"/>
      <c r="S27"/>
    </row>
    <row r="28" spans="1:19" s="19" customFormat="1">
      <c r="A28" s="24" t="s">
        <v>106</v>
      </c>
      <c r="B28" s="25" t="s">
        <v>177</v>
      </c>
      <c r="C28" s="207">
        <v>1239.26</v>
      </c>
      <c r="D28" s="207">
        <v>1239.27</v>
      </c>
      <c r="E28" s="207">
        <v>1487.3</v>
      </c>
      <c r="F28" s="207">
        <v>1244.3399999999999</v>
      </c>
      <c r="G28" s="207">
        <v>1446.93</v>
      </c>
      <c r="H28" s="36"/>
      <c r="I28" s="36"/>
      <c r="J28" s="36"/>
      <c r="K28" s="36"/>
      <c r="L28" s="36"/>
      <c r="M28" s="36"/>
      <c r="N28" s="36"/>
      <c r="O28" s="185">
        <f t="shared" si="7"/>
        <v>6657.1</v>
      </c>
      <c r="P28"/>
      <c r="Q28"/>
      <c r="R28"/>
      <c r="S28"/>
    </row>
    <row r="29" spans="1:19" s="19" customFormat="1">
      <c r="A29" s="24" t="s">
        <v>107</v>
      </c>
      <c r="B29" s="25" t="s">
        <v>178</v>
      </c>
      <c r="C29" s="207"/>
      <c r="D29" s="207"/>
      <c r="E29" s="207"/>
      <c r="F29" s="36"/>
      <c r="G29" s="36"/>
      <c r="H29" s="36"/>
      <c r="I29" s="36"/>
      <c r="J29" s="36"/>
      <c r="K29" s="36"/>
      <c r="L29" s="36"/>
      <c r="M29" s="36"/>
      <c r="N29" s="36"/>
      <c r="O29" s="185">
        <f t="shared" si="7"/>
        <v>0</v>
      </c>
      <c r="P29"/>
      <c r="Q29"/>
      <c r="R29"/>
      <c r="S29"/>
    </row>
    <row r="30" spans="1:19" s="19" customFormat="1">
      <c r="A30" s="24" t="s">
        <v>108</v>
      </c>
      <c r="B30" s="25" t="s">
        <v>179</v>
      </c>
      <c r="C30" s="36"/>
      <c r="D30" s="36"/>
      <c r="E30" s="36"/>
      <c r="F30" s="36"/>
      <c r="G30" s="36"/>
      <c r="H30" s="36"/>
      <c r="I30" s="36"/>
      <c r="J30" s="36"/>
      <c r="K30" s="36"/>
      <c r="L30" s="36"/>
      <c r="M30" s="36"/>
      <c r="N30" s="36"/>
      <c r="O30" s="185">
        <f t="shared" si="7"/>
        <v>0</v>
      </c>
      <c r="P30"/>
      <c r="Q30"/>
      <c r="R30"/>
      <c r="S30"/>
    </row>
    <row r="31" spans="1:19" s="19" customFormat="1">
      <c r="A31" s="24" t="s">
        <v>109</v>
      </c>
      <c r="B31" s="25" t="s">
        <v>180</v>
      </c>
      <c r="C31" s="208">
        <v>945.13</v>
      </c>
      <c r="D31" s="208"/>
      <c r="E31" s="208">
        <v>945.13</v>
      </c>
      <c r="F31" s="207">
        <v>1397.41</v>
      </c>
      <c r="G31" s="208">
        <v>605.65</v>
      </c>
      <c r="L31" s="36"/>
      <c r="M31" s="36"/>
      <c r="N31" s="36"/>
      <c r="O31" s="185">
        <f t="shared" si="7"/>
        <v>3893.32</v>
      </c>
      <c r="P31"/>
      <c r="Q31"/>
      <c r="R31"/>
      <c r="S31"/>
    </row>
    <row r="32" spans="1:19" s="19" customFormat="1">
      <c r="A32" s="24" t="s">
        <v>181</v>
      </c>
      <c r="B32" s="23" t="s">
        <v>180</v>
      </c>
      <c r="E32" s="36"/>
      <c r="F32" s="36"/>
      <c r="G32" s="36"/>
      <c r="H32" s="36"/>
      <c r="I32" s="36"/>
      <c r="J32" s="36"/>
      <c r="K32" s="36"/>
      <c r="L32" s="36"/>
      <c r="M32" s="36"/>
      <c r="N32" s="36"/>
      <c r="O32" s="187">
        <f>SUM(C32:N32)</f>
        <v>0</v>
      </c>
      <c r="P32"/>
      <c r="Q32"/>
      <c r="R32"/>
      <c r="S32"/>
    </row>
    <row r="33" spans="1:19" s="19" customFormat="1">
      <c r="A33" s="38"/>
      <c r="B33" s="25"/>
      <c r="C33" s="36"/>
      <c r="D33" s="36"/>
      <c r="E33" s="36"/>
      <c r="F33" s="36"/>
      <c r="G33" s="36"/>
      <c r="H33" s="36"/>
      <c r="I33" s="36"/>
      <c r="J33" s="36"/>
      <c r="K33" s="36"/>
      <c r="L33" s="36"/>
      <c r="M33" s="36"/>
      <c r="N33" s="36"/>
      <c r="O33" s="184"/>
      <c r="P33"/>
      <c r="Q33"/>
      <c r="R33"/>
      <c r="S33"/>
    </row>
    <row r="34" spans="1:19">
      <c r="A34" s="15" t="s">
        <v>110</v>
      </c>
      <c r="B34" s="5" t="s">
        <v>166</v>
      </c>
      <c r="C34" s="13">
        <f t="shared" ref="C34:N34" si="8">SUM(C35:C36)</f>
        <v>0</v>
      </c>
      <c r="D34" s="13">
        <f t="shared" si="8"/>
        <v>0</v>
      </c>
      <c r="E34" s="13">
        <f t="shared" si="8"/>
        <v>0</v>
      </c>
      <c r="F34" s="13">
        <f t="shared" si="8"/>
        <v>0</v>
      </c>
      <c r="G34" s="13">
        <f t="shared" si="8"/>
        <v>0</v>
      </c>
      <c r="H34" s="13">
        <f t="shared" si="8"/>
        <v>0</v>
      </c>
      <c r="I34" s="13">
        <f t="shared" si="8"/>
        <v>0</v>
      </c>
      <c r="J34" s="13">
        <f t="shared" si="8"/>
        <v>0</v>
      </c>
      <c r="K34" s="13">
        <f t="shared" si="8"/>
        <v>0</v>
      </c>
      <c r="L34" s="13">
        <f t="shared" si="8"/>
        <v>0</v>
      </c>
      <c r="M34" s="13">
        <f t="shared" si="8"/>
        <v>0</v>
      </c>
      <c r="N34" s="13">
        <f t="shared" si="8"/>
        <v>0</v>
      </c>
      <c r="O34" s="185">
        <f>SUM(C34:N34)</f>
        <v>0</v>
      </c>
    </row>
    <row r="35" spans="1:19" s="19" customFormat="1">
      <c r="A35" s="20" t="s">
        <v>111</v>
      </c>
      <c r="B35" s="21" t="s">
        <v>182</v>
      </c>
      <c r="C35" s="32"/>
      <c r="D35" s="32"/>
      <c r="E35" s="32"/>
      <c r="F35" s="32"/>
      <c r="G35" s="32"/>
      <c r="H35" s="32"/>
      <c r="I35" s="32"/>
      <c r="J35" s="32"/>
      <c r="K35" s="32"/>
      <c r="L35" s="32"/>
      <c r="M35" s="32"/>
      <c r="N35" s="32"/>
      <c r="O35" s="185">
        <f>SUM(C35:N35)</f>
        <v>0</v>
      </c>
      <c r="Q35" s="36"/>
    </row>
    <row r="36" spans="1:19" s="19" customFormat="1">
      <c r="A36" s="22" t="s">
        <v>112</v>
      </c>
      <c r="B36" s="23" t="s">
        <v>183</v>
      </c>
      <c r="C36" s="34"/>
      <c r="D36" s="34"/>
      <c r="E36" s="34"/>
      <c r="F36" s="34"/>
      <c r="G36" s="34"/>
      <c r="H36" s="34"/>
      <c r="I36" s="34"/>
      <c r="J36" s="34"/>
      <c r="K36" s="34"/>
      <c r="L36" s="34"/>
      <c r="M36" s="34"/>
      <c r="N36" s="34"/>
      <c r="O36" s="185">
        <f>SUM(C36:N36)</f>
        <v>0</v>
      </c>
      <c r="Q36" s="75"/>
    </row>
    <row r="37" spans="1:19" s="19" customFormat="1" ht="7.5" customHeight="1">
      <c r="A37" s="38"/>
      <c r="B37" s="25"/>
      <c r="C37" s="36"/>
      <c r="D37" s="36"/>
      <c r="E37" s="36"/>
      <c r="F37" s="36"/>
      <c r="G37" s="36"/>
      <c r="H37" s="36"/>
      <c r="I37" s="36"/>
      <c r="J37" s="36"/>
      <c r="K37" s="36"/>
      <c r="L37" s="36"/>
      <c r="M37" s="36"/>
      <c r="N37" s="36"/>
      <c r="O37" s="184"/>
    </row>
    <row r="38" spans="1:19">
      <c r="A38" s="15" t="s">
        <v>113</v>
      </c>
      <c r="B38" s="5" t="s">
        <v>184</v>
      </c>
      <c r="C38" s="208">
        <v>400</v>
      </c>
      <c r="F38" s="208">
        <v>438.03</v>
      </c>
      <c r="G38" s="208">
        <v>439</v>
      </c>
      <c r="O38" s="182">
        <f>SUM(C38:N38)</f>
        <v>1277.03</v>
      </c>
    </row>
    <row r="39" spans="1:19">
      <c r="A39" s="15" t="s">
        <v>114</v>
      </c>
      <c r="B39" s="5" t="s">
        <v>166</v>
      </c>
      <c r="C39" s="13">
        <f t="shared" ref="C39:N39" si="9">SUM(C40:C42)</f>
        <v>1837.7800000000002</v>
      </c>
      <c r="D39" s="13">
        <f t="shared" si="9"/>
        <v>1236.76</v>
      </c>
      <c r="E39" s="13">
        <f t="shared" si="9"/>
        <v>2397.94</v>
      </c>
      <c r="F39" s="13">
        <f t="shared" si="9"/>
        <v>1889.2199999999998</v>
      </c>
      <c r="G39" s="13">
        <f t="shared" si="9"/>
        <v>1602.02</v>
      </c>
      <c r="H39" s="13">
        <f t="shared" si="9"/>
        <v>0</v>
      </c>
      <c r="I39" s="13">
        <f t="shared" si="9"/>
        <v>0</v>
      </c>
      <c r="J39" s="13">
        <f t="shared" si="9"/>
        <v>0</v>
      </c>
      <c r="K39" s="13">
        <f t="shared" si="9"/>
        <v>0</v>
      </c>
      <c r="L39" s="13">
        <f t="shared" si="9"/>
        <v>0</v>
      </c>
      <c r="M39" s="13">
        <f t="shared" si="9"/>
        <v>0</v>
      </c>
      <c r="N39" s="13">
        <f t="shared" si="9"/>
        <v>0</v>
      </c>
      <c r="O39" s="182">
        <f>SUM(C39:N39)</f>
        <v>8963.7199999999993</v>
      </c>
    </row>
    <row r="40" spans="1:19" s="19" customFormat="1">
      <c r="A40" s="20" t="s">
        <v>115</v>
      </c>
      <c r="B40" s="21" t="s">
        <v>185</v>
      </c>
      <c r="C40" s="207">
        <v>1245.6500000000001</v>
      </c>
      <c r="D40" s="207">
        <v>1236.76</v>
      </c>
      <c r="E40" s="207">
        <v>1213.68</v>
      </c>
      <c r="F40" s="207">
        <v>1297.0899999999999</v>
      </c>
      <c r="G40" s="207">
        <v>1009.89</v>
      </c>
      <c r="H40" s="32"/>
      <c r="I40" s="32"/>
      <c r="J40" s="32"/>
      <c r="K40" s="32"/>
      <c r="L40" s="32"/>
      <c r="M40" s="32"/>
      <c r="N40" s="32"/>
      <c r="O40" s="186">
        <f>SUM(C40:N40)</f>
        <v>6003.0700000000006</v>
      </c>
    </row>
    <row r="41" spans="1:19" s="19" customFormat="1">
      <c r="A41" s="24" t="s">
        <v>116</v>
      </c>
      <c r="B41" s="25" t="s">
        <v>186</v>
      </c>
      <c r="C41" s="36"/>
      <c r="D41" s="36"/>
      <c r="E41" s="36"/>
      <c r="F41" s="36"/>
      <c r="G41" s="36"/>
      <c r="H41" s="36"/>
      <c r="I41" s="36"/>
      <c r="J41" s="36"/>
      <c r="K41" s="36"/>
      <c r="L41" s="36"/>
      <c r="M41" s="36"/>
      <c r="N41" s="36"/>
      <c r="O41" s="185">
        <f>SUM(C41:N41)</f>
        <v>0</v>
      </c>
    </row>
    <row r="42" spans="1:19" s="19" customFormat="1">
      <c r="A42" s="22" t="s">
        <v>117</v>
      </c>
      <c r="B42" s="23" t="s">
        <v>187</v>
      </c>
      <c r="C42" s="208">
        <v>592.13</v>
      </c>
      <c r="D42" s="208"/>
      <c r="E42" s="207">
        <v>1184.26</v>
      </c>
      <c r="F42" s="208">
        <v>592.13</v>
      </c>
      <c r="G42" s="208">
        <v>592.13</v>
      </c>
      <c r="H42" s="34"/>
      <c r="I42" s="34"/>
      <c r="J42" s="34"/>
      <c r="K42" s="34"/>
      <c r="L42" s="34"/>
      <c r="M42" s="34"/>
      <c r="N42" s="34"/>
      <c r="O42" s="187">
        <f>SUM(C42:N42)</f>
        <v>2960.65</v>
      </c>
    </row>
    <row r="43" spans="1:19" s="19" customFormat="1" ht="7.5" customHeight="1">
      <c r="A43" s="38"/>
      <c r="B43" s="25"/>
      <c r="C43" s="36"/>
      <c r="D43" s="36"/>
      <c r="E43" s="36"/>
      <c r="F43" s="36"/>
      <c r="G43" s="36"/>
      <c r="H43" s="36"/>
      <c r="I43" s="36"/>
      <c r="J43" s="36"/>
      <c r="K43" s="36"/>
      <c r="L43" s="36"/>
      <c r="M43" s="36"/>
      <c r="N43" s="36"/>
      <c r="O43" s="184"/>
    </row>
    <row r="44" spans="1:19">
      <c r="A44" s="15" t="s">
        <v>118</v>
      </c>
      <c r="B44" s="5" t="s">
        <v>166</v>
      </c>
      <c r="C44" s="13">
        <f t="shared" ref="C44:N44" si="10">SUM(C45:C46)</f>
        <v>163.14000000000001</v>
      </c>
      <c r="D44" s="13">
        <f t="shared" si="10"/>
        <v>142.72</v>
      </c>
      <c r="E44" s="13">
        <f t="shared" si="10"/>
        <v>59.58</v>
      </c>
      <c r="F44" s="13">
        <f t="shared" si="10"/>
        <v>93.759999999999991</v>
      </c>
      <c r="G44" s="13">
        <f t="shared" si="10"/>
        <v>74.61</v>
      </c>
      <c r="H44" s="13">
        <f t="shared" si="10"/>
        <v>0</v>
      </c>
      <c r="I44" s="13">
        <f t="shared" si="10"/>
        <v>0</v>
      </c>
      <c r="J44" s="13">
        <f t="shared" si="10"/>
        <v>0</v>
      </c>
      <c r="K44" s="13">
        <f t="shared" si="10"/>
        <v>0</v>
      </c>
      <c r="L44" s="13">
        <f t="shared" si="10"/>
        <v>0</v>
      </c>
      <c r="M44" s="13">
        <f t="shared" si="10"/>
        <v>0</v>
      </c>
      <c r="N44" s="13">
        <f t="shared" si="10"/>
        <v>0</v>
      </c>
      <c r="O44" s="182">
        <f>SUM(C44:N44)</f>
        <v>533.80999999999995</v>
      </c>
    </row>
    <row r="45" spans="1:19" s="19" customFormat="1">
      <c r="A45" s="20" t="s">
        <v>119</v>
      </c>
      <c r="B45" s="21" t="s">
        <v>188</v>
      </c>
      <c r="C45" s="208">
        <v>59.96</v>
      </c>
      <c r="D45" s="208">
        <v>64.5</v>
      </c>
      <c r="E45" s="208">
        <v>59.58</v>
      </c>
      <c r="F45" s="208">
        <v>74.27</v>
      </c>
      <c r="G45" s="208">
        <v>64.61</v>
      </c>
      <c r="H45" s="32"/>
      <c r="I45" s="32"/>
      <c r="J45" s="32"/>
      <c r="K45" s="32"/>
      <c r="L45" s="32"/>
      <c r="M45" s="32"/>
      <c r="N45" s="32"/>
      <c r="O45" s="186">
        <f>SUM(C45:N45)</f>
        <v>322.92</v>
      </c>
    </row>
    <row r="46" spans="1:19" s="19" customFormat="1">
      <c r="A46" s="22" t="s">
        <v>189</v>
      </c>
      <c r="B46" s="23" t="s">
        <v>190</v>
      </c>
      <c r="C46" s="208">
        <v>103.18</v>
      </c>
      <c r="D46" s="208">
        <v>78.22</v>
      </c>
      <c r="E46" s="208"/>
      <c r="F46" s="208">
        <v>19.489999999999998</v>
      </c>
      <c r="G46" s="208">
        <v>10</v>
      </c>
      <c r="H46" s="34"/>
      <c r="I46" s="34"/>
      <c r="J46" s="34"/>
      <c r="K46" s="34"/>
      <c r="L46" s="34"/>
      <c r="M46" s="34"/>
      <c r="N46" s="34"/>
      <c r="O46" s="187">
        <f>SUM(C46:N46)</f>
        <v>210.89000000000001</v>
      </c>
    </row>
    <row r="47" spans="1:19" s="19" customFormat="1" ht="7.5" customHeight="1">
      <c r="A47" s="38" t="s">
        <v>191</v>
      </c>
      <c r="B47" s="25"/>
      <c r="C47" s="36"/>
      <c r="D47" s="36"/>
      <c r="E47" s="36"/>
      <c r="F47" s="36"/>
      <c r="G47" s="36"/>
      <c r="H47" s="36"/>
      <c r="I47" s="36"/>
      <c r="J47" s="36"/>
      <c r="K47" s="36"/>
      <c r="L47" s="36"/>
      <c r="M47" s="36"/>
      <c r="N47" s="36"/>
      <c r="O47" s="184"/>
    </row>
    <row r="48" spans="1:19">
      <c r="A48" s="15" t="s">
        <v>121</v>
      </c>
      <c r="B48" s="5" t="s">
        <v>192</v>
      </c>
      <c r="C48" s="208">
        <v>-747.94</v>
      </c>
      <c r="D48" s="208">
        <v>-931.76</v>
      </c>
      <c r="E48" s="208">
        <v>649.69000000000005</v>
      </c>
      <c r="F48" s="207">
        <v>2858.26</v>
      </c>
      <c r="G48" s="208">
        <v>373.44</v>
      </c>
      <c r="O48" s="182">
        <f t="shared" ref="O48:O52" si="11">SUM(C48:N48)</f>
        <v>2201.69</v>
      </c>
    </row>
    <row r="49" spans="1:15">
      <c r="A49" s="15" t="s">
        <v>122</v>
      </c>
      <c r="B49" s="5" t="s">
        <v>166</v>
      </c>
      <c r="C49" s="13">
        <f t="shared" ref="C49:N49" si="12">SUM(C50:C52)</f>
        <v>683.49</v>
      </c>
      <c r="D49" s="13">
        <f t="shared" si="12"/>
        <v>190.38</v>
      </c>
      <c r="E49" s="13">
        <f t="shared" si="12"/>
        <v>750.9</v>
      </c>
      <c r="F49" s="13">
        <f t="shared" si="12"/>
        <v>12.5</v>
      </c>
      <c r="G49" s="13">
        <f t="shared" si="12"/>
        <v>12.5</v>
      </c>
      <c r="H49" s="13">
        <f t="shared" si="12"/>
        <v>0</v>
      </c>
      <c r="I49" s="13">
        <f t="shared" si="12"/>
        <v>0</v>
      </c>
      <c r="J49" s="13">
        <f t="shared" si="12"/>
        <v>0</v>
      </c>
      <c r="K49" s="13">
        <f t="shared" si="12"/>
        <v>0</v>
      </c>
      <c r="L49" s="13">
        <f t="shared" si="12"/>
        <v>0</v>
      </c>
      <c r="M49" s="13">
        <f t="shared" si="12"/>
        <v>0</v>
      </c>
      <c r="N49" s="13">
        <f t="shared" si="12"/>
        <v>0</v>
      </c>
      <c r="O49" s="182">
        <f t="shared" si="11"/>
        <v>1649.77</v>
      </c>
    </row>
    <row r="50" spans="1:15" s="19" customFormat="1">
      <c r="A50" s="20" t="s">
        <v>123</v>
      </c>
      <c r="B50" s="21" t="s">
        <v>193</v>
      </c>
      <c r="C50" s="32"/>
      <c r="D50" s="32"/>
      <c r="E50" s="32"/>
      <c r="F50" s="32"/>
      <c r="G50" s="32"/>
      <c r="H50" s="32"/>
      <c r="I50" s="32"/>
      <c r="J50" s="32"/>
      <c r="K50" s="32"/>
      <c r="L50" s="32"/>
      <c r="M50" s="32"/>
      <c r="N50" s="32"/>
      <c r="O50" s="186">
        <f t="shared" si="11"/>
        <v>0</v>
      </c>
    </row>
    <row r="51" spans="1:15" s="19" customFormat="1">
      <c r="A51" s="24" t="s">
        <v>124</v>
      </c>
      <c r="B51" s="25" t="s">
        <v>194</v>
      </c>
      <c r="C51" s="36"/>
      <c r="D51" s="36"/>
      <c r="E51" s="208">
        <v>738.4</v>
      </c>
      <c r="F51" s="36"/>
      <c r="G51" s="36"/>
      <c r="H51" s="36"/>
      <c r="I51" s="36"/>
      <c r="J51" s="36"/>
      <c r="K51" s="36"/>
      <c r="L51" s="36"/>
      <c r="M51" s="36"/>
      <c r="N51" s="36"/>
      <c r="O51" s="185">
        <f t="shared" si="11"/>
        <v>738.4</v>
      </c>
    </row>
    <row r="52" spans="1:15" s="19" customFormat="1">
      <c r="A52" s="22" t="s">
        <v>125</v>
      </c>
      <c r="B52" s="23" t="s">
        <v>195</v>
      </c>
      <c r="C52" s="208">
        <v>683.49</v>
      </c>
      <c r="D52" s="208">
        <v>190.38</v>
      </c>
      <c r="E52" s="208">
        <v>12.5</v>
      </c>
      <c r="F52" s="208">
        <v>12.5</v>
      </c>
      <c r="G52" s="208">
        <v>12.5</v>
      </c>
      <c r="H52" s="34"/>
      <c r="I52" s="34"/>
      <c r="J52" s="34"/>
      <c r="K52" s="34"/>
      <c r="L52" s="34"/>
      <c r="M52" s="34"/>
      <c r="N52" s="34"/>
      <c r="O52" s="187">
        <f t="shared" si="11"/>
        <v>911.37</v>
      </c>
    </row>
    <row r="53" spans="1:15" s="19" customFormat="1" ht="7.5" customHeight="1">
      <c r="A53" s="38"/>
      <c r="B53" s="25"/>
      <c r="C53" s="36"/>
      <c r="D53" s="36"/>
      <c r="E53" s="36"/>
      <c r="F53" s="36"/>
      <c r="G53" s="36"/>
      <c r="H53" s="36"/>
      <c r="I53" s="36"/>
      <c r="J53" s="36"/>
      <c r="K53" s="36"/>
      <c r="L53" s="36"/>
      <c r="M53" s="36"/>
      <c r="N53" s="36"/>
      <c r="O53" s="184"/>
    </row>
    <row r="54" spans="1:15">
      <c r="A54" s="15" t="s">
        <v>126</v>
      </c>
      <c r="C54" s="13">
        <f>SUM(C55:C59)</f>
        <v>1571.47</v>
      </c>
      <c r="D54" s="13">
        <f t="shared" ref="D54:N54" si="13">SUM(D55:D59)</f>
        <v>3490.71</v>
      </c>
      <c r="E54" s="13">
        <f t="shared" si="13"/>
        <v>742.2</v>
      </c>
      <c r="F54" s="13">
        <f t="shared" si="13"/>
        <v>737.33999999999992</v>
      </c>
      <c r="G54" s="13">
        <f t="shared" si="13"/>
        <v>1307.47</v>
      </c>
      <c r="H54" s="13">
        <f t="shared" si="13"/>
        <v>0</v>
      </c>
      <c r="I54" s="13">
        <f t="shared" si="13"/>
        <v>0</v>
      </c>
      <c r="J54" s="13">
        <f t="shared" si="13"/>
        <v>0</v>
      </c>
      <c r="K54" s="13">
        <f t="shared" si="13"/>
        <v>0</v>
      </c>
      <c r="L54" s="13">
        <f t="shared" si="13"/>
        <v>0</v>
      </c>
      <c r="M54" s="13">
        <f t="shared" si="13"/>
        <v>0</v>
      </c>
      <c r="N54" s="13">
        <f t="shared" si="13"/>
        <v>0</v>
      </c>
      <c r="O54" s="182">
        <f t="shared" ref="O54:O59" si="14">SUM(C54:N54)</f>
        <v>7849.1900000000005</v>
      </c>
    </row>
    <row r="55" spans="1:15" s="19" customFormat="1">
      <c r="A55" s="20" t="s">
        <v>127</v>
      </c>
      <c r="B55" s="21" t="s">
        <v>196</v>
      </c>
      <c r="C55" s="32"/>
      <c r="D55" s="32"/>
      <c r="E55" s="32"/>
      <c r="F55" s="32"/>
      <c r="G55" s="32"/>
      <c r="H55" s="32"/>
      <c r="I55" s="32"/>
      <c r="J55" s="32"/>
      <c r="K55" s="32"/>
      <c r="L55" s="32"/>
      <c r="M55" s="32"/>
      <c r="N55" s="32"/>
      <c r="O55" s="186">
        <f t="shared" si="14"/>
        <v>0</v>
      </c>
    </row>
    <row r="56" spans="1:15" s="19" customFormat="1">
      <c r="A56" s="24" t="s">
        <v>128</v>
      </c>
      <c r="B56" s="25" t="s">
        <v>197</v>
      </c>
      <c r="C56" s="208">
        <v>218.29</v>
      </c>
      <c r="D56" s="208">
        <v>210.88</v>
      </c>
      <c r="E56" s="208">
        <v>79.599999999999994</v>
      </c>
      <c r="F56" s="208">
        <v>203.95</v>
      </c>
      <c r="G56" s="208">
        <v>747.47</v>
      </c>
      <c r="H56" s="36"/>
      <c r="I56" s="36"/>
      <c r="J56" s="36"/>
      <c r="K56" s="36"/>
      <c r="L56" s="36"/>
      <c r="M56" s="36"/>
      <c r="N56" s="36"/>
      <c r="O56" s="185">
        <f t="shared" si="14"/>
        <v>1460.19</v>
      </c>
    </row>
    <row r="57" spans="1:15" s="19" customFormat="1">
      <c r="A57" s="24" t="s">
        <v>129</v>
      </c>
      <c r="B57" s="25" t="s">
        <v>198</v>
      </c>
      <c r="C57" s="207">
        <v>1330.25</v>
      </c>
      <c r="D57" s="207">
        <v>3032</v>
      </c>
      <c r="E57" s="208">
        <v>523</v>
      </c>
      <c r="F57" s="208">
        <v>120</v>
      </c>
      <c r="G57" s="208">
        <v>560</v>
      </c>
      <c r="H57" s="36"/>
      <c r="I57" s="36"/>
      <c r="J57" s="36"/>
      <c r="K57" s="36"/>
      <c r="L57" s="36"/>
      <c r="M57" s="36"/>
      <c r="N57" s="36"/>
      <c r="O57" s="185">
        <f t="shared" si="14"/>
        <v>5565.25</v>
      </c>
    </row>
    <row r="58" spans="1:15" s="19" customFormat="1">
      <c r="A58" s="24" t="s">
        <v>81</v>
      </c>
      <c r="B58" s="25" t="s">
        <v>199</v>
      </c>
      <c r="C58" s="36"/>
      <c r="D58" s="36"/>
      <c r="E58" s="36"/>
      <c r="F58" s="36"/>
      <c r="G58" s="36"/>
      <c r="H58" s="36"/>
      <c r="I58" s="36"/>
      <c r="J58" s="36"/>
      <c r="K58" s="36"/>
      <c r="L58" s="36"/>
      <c r="M58" s="36"/>
      <c r="N58" s="36"/>
      <c r="O58" s="185">
        <f t="shared" si="14"/>
        <v>0</v>
      </c>
    </row>
    <row r="59" spans="1:15" s="19" customFormat="1">
      <c r="A59" s="22" t="s">
        <v>200</v>
      </c>
      <c r="B59" s="23" t="s">
        <v>201</v>
      </c>
      <c r="C59" s="208">
        <v>22.93</v>
      </c>
      <c r="D59" s="208">
        <v>247.83</v>
      </c>
      <c r="E59" s="208">
        <v>139.6</v>
      </c>
      <c r="F59" s="208">
        <v>413.39</v>
      </c>
      <c r="G59" s="34"/>
      <c r="H59" s="34"/>
      <c r="I59" s="34"/>
      <c r="J59" s="34"/>
      <c r="K59" s="34"/>
      <c r="L59" s="34"/>
      <c r="M59" s="34"/>
      <c r="N59" s="34"/>
      <c r="O59" s="187">
        <f t="shared" si="14"/>
        <v>823.75</v>
      </c>
    </row>
    <row r="60" spans="1:15" s="19" customFormat="1">
      <c r="A60" s="38"/>
      <c r="B60" s="25"/>
      <c r="C60" s="36"/>
      <c r="D60" s="36"/>
      <c r="E60" s="36"/>
      <c r="F60" s="36"/>
      <c r="G60" s="36"/>
      <c r="H60" s="36"/>
      <c r="I60" s="36"/>
      <c r="J60" s="36"/>
      <c r="K60" s="36"/>
      <c r="L60" s="36"/>
      <c r="M60" s="36"/>
      <c r="N60" s="36"/>
      <c r="O60" s="184"/>
    </row>
    <row r="61" spans="1:15" s="19" customFormat="1" ht="14.65" thickBot="1">
      <c r="A61" s="7" t="s">
        <v>131</v>
      </c>
      <c r="B61" s="25"/>
      <c r="C61" s="28">
        <f t="shared" ref="C61:O61" si="15">C54+C49+C48+C44+C39+C38+C34+C21+C20+C19+C15+C14+C13</f>
        <v>10623.510000000002</v>
      </c>
      <c r="D61" s="28">
        <f t="shared" si="15"/>
        <v>13510.74</v>
      </c>
      <c r="E61" s="28">
        <f t="shared" si="15"/>
        <v>23986.03</v>
      </c>
      <c r="F61" s="28">
        <f t="shared" si="15"/>
        <v>19870.169999999998</v>
      </c>
      <c r="G61" s="28">
        <f t="shared" si="15"/>
        <v>16624.660000000003</v>
      </c>
      <c r="H61" s="28">
        <f t="shared" si="15"/>
        <v>0</v>
      </c>
      <c r="I61" s="28">
        <f t="shared" si="15"/>
        <v>0</v>
      </c>
      <c r="J61" s="28">
        <f t="shared" si="15"/>
        <v>0</v>
      </c>
      <c r="K61" s="28">
        <f>K54+K49+K48+K44+K39+K38+K34+K21+K20+K19+K15+K14+K13</f>
        <v>0</v>
      </c>
      <c r="L61" s="28">
        <f t="shared" si="15"/>
        <v>0</v>
      </c>
      <c r="M61" s="28">
        <f t="shared" si="15"/>
        <v>0</v>
      </c>
      <c r="N61" s="28">
        <f t="shared" si="15"/>
        <v>0</v>
      </c>
      <c r="O61" s="183">
        <f t="shared" si="15"/>
        <v>84615.11</v>
      </c>
    </row>
    <row r="62" spans="1:15" s="19" customFormat="1">
      <c r="A62" s="7"/>
      <c r="B62" s="25"/>
      <c r="C62" s="36"/>
      <c r="D62" s="36"/>
      <c r="E62" s="36"/>
      <c r="F62" s="36"/>
      <c r="G62" s="36"/>
      <c r="H62" s="36"/>
      <c r="I62" s="36"/>
      <c r="J62" s="36"/>
      <c r="K62" s="36"/>
      <c r="L62" s="36"/>
      <c r="M62" s="36"/>
      <c r="N62" s="36"/>
      <c r="O62" s="184"/>
    </row>
    <row r="63" spans="1:15" s="19" customFormat="1" ht="14.65" thickBot="1">
      <c r="A63" s="7" t="s">
        <v>132</v>
      </c>
      <c r="B63" s="25"/>
      <c r="C63" s="28">
        <f t="shared" ref="C63:N63" si="16">C61+C10</f>
        <v>10623.510000000002</v>
      </c>
      <c r="D63" s="28">
        <f t="shared" si="16"/>
        <v>13510.74</v>
      </c>
      <c r="E63" s="28">
        <f t="shared" si="16"/>
        <v>23986.03</v>
      </c>
      <c r="F63" s="28">
        <f t="shared" si="16"/>
        <v>19870.169999999998</v>
      </c>
      <c r="G63" s="28">
        <f t="shared" si="16"/>
        <v>16624.660000000003</v>
      </c>
      <c r="H63" s="28">
        <f t="shared" si="16"/>
        <v>0</v>
      </c>
      <c r="I63" s="28">
        <f t="shared" si="16"/>
        <v>0</v>
      </c>
      <c r="J63" s="28">
        <f t="shared" si="16"/>
        <v>0</v>
      </c>
      <c r="K63" s="28">
        <f t="shared" si="16"/>
        <v>0</v>
      </c>
      <c r="L63" s="28">
        <f t="shared" si="16"/>
        <v>0</v>
      </c>
      <c r="M63" s="28">
        <f t="shared" si="16"/>
        <v>0</v>
      </c>
      <c r="N63" s="28">
        <f t="shared" si="16"/>
        <v>0</v>
      </c>
      <c r="O63" s="183">
        <f>O61+O10</f>
        <v>84615.11</v>
      </c>
    </row>
    <row r="64" spans="1:15">
      <c r="B64" s="8"/>
      <c r="O64" s="182"/>
    </row>
    <row r="65" spans="15:15">
      <c r="O65" s="182"/>
    </row>
  </sheetData>
  <pageMargins left="0.7" right="0.7" top="0.75" bottom="0.75" header="0.3" footer="0.3"/>
  <pageSetup paperSize="9" scale="54" orientation="landscape" r:id="rId1"/>
  <headerFooter alignWithMargins="0">
    <oddHeader>&amp;A</oddHead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E55"/>
  <sheetViews>
    <sheetView topLeftCell="A34" workbookViewId="0">
      <selection activeCell="V37" sqref="V37"/>
    </sheetView>
  </sheetViews>
  <sheetFormatPr defaultRowHeight="14.25" outlineLevelCol="1"/>
  <cols>
    <col min="1" max="1" width="34.42578125" bestFit="1" customWidth="1"/>
    <col min="2" max="3" width="9.5703125" bestFit="1" customWidth="1"/>
    <col min="4" max="4" width="10.5703125" bestFit="1" customWidth="1"/>
    <col min="5" max="6" width="10.5703125" customWidth="1"/>
    <col min="7" max="18" width="10.5703125" hidden="1" customWidth="1" outlineLevel="1"/>
    <col min="19" max="19" width="4.28515625" customWidth="1" collapsed="1"/>
    <col min="20" max="20" width="9.5703125" style="82" bestFit="1" customWidth="1"/>
    <col min="21" max="21" width="10" bestFit="1" customWidth="1"/>
    <col min="22" max="22" width="10.28515625" bestFit="1" customWidth="1"/>
    <col min="23" max="24" width="10.28515625" customWidth="1"/>
    <col min="25" max="36" width="10.5703125" hidden="1" customWidth="1" outlineLevel="1"/>
    <col min="37" max="37" width="4.28515625" customWidth="1" collapsed="1"/>
    <col min="38" max="38" width="9.5703125" bestFit="1" customWidth="1"/>
    <col min="39" max="39" width="11.85546875" customWidth="1"/>
    <col min="40" max="40" width="10.5703125" bestFit="1" customWidth="1"/>
    <col min="41" max="42" width="10.5703125" customWidth="1"/>
    <col min="43" max="54" width="10.5703125" hidden="1" customWidth="1" outlineLevel="1"/>
    <col min="55" max="55" width="5.5703125" customWidth="1" collapsed="1"/>
    <col min="56" max="56" width="9" hidden="1" customWidth="1" outlineLevel="1"/>
    <col min="57" max="57" width="9" collapsed="1"/>
  </cols>
  <sheetData>
    <row r="1" spans="1:56">
      <c r="A1" s="1" t="s">
        <v>0</v>
      </c>
      <c r="C1" t="s">
        <v>202</v>
      </c>
      <c r="D1" t="s">
        <v>203</v>
      </c>
      <c r="AL1" t="s">
        <v>204</v>
      </c>
      <c r="AM1" t="s">
        <v>205</v>
      </c>
    </row>
    <row r="2" spans="1:56">
      <c r="A2" s="70" t="s">
        <v>206</v>
      </c>
      <c r="C2" t="s">
        <v>207</v>
      </c>
      <c r="D2" t="s">
        <v>208</v>
      </c>
      <c r="AM2" t="s">
        <v>209</v>
      </c>
    </row>
    <row r="3" spans="1:56" ht="14.65" thickBot="1">
      <c r="A3" s="198">
        <f>'Income - Overall'!A3</f>
        <v>46173</v>
      </c>
    </row>
    <row r="4" spans="1:56">
      <c r="B4" s="209" t="s">
        <v>210</v>
      </c>
      <c r="C4" s="210"/>
      <c r="D4" s="210"/>
      <c r="E4" s="210"/>
      <c r="F4" s="211"/>
      <c r="G4" s="209" t="s">
        <v>211</v>
      </c>
      <c r="H4" s="210"/>
      <c r="I4" s="210"/>
      <c r="J4" s="210"/>
      <c r="K4" s="210"/>
      <c r="L4" s="211"/>
      <c r="M4" s="209" t="s">
        <v>36</v>
      </c>
      <c r="N4" s="210"/>
      <c r="O4" s="210"/>
      <c r="P4" s="210"/>
      <c r="Q4" s="210"/>
      <c r="R4" s="211"/>
      <c r="T4" s="212" t="s">
        <v>212</v>
      </c>
      <c r="U4" s="213"/>
      <c r="V4" s="213"/>
      <c r="W4" s="213"/>
      <c r="X4" s="214"/>
      <c r="Y4" s="209" t="s">
        <v>211</v>
      </c>
      <c r="Z4" s="210"/>
      <c r="AA4" s="210"/>
      <c r="AB4" s="210"/>
      <c r="AC4" s="210"/>
      <c r="AD4" s="211"/>
      <c r="AE4" s="209" t="s">
        <v>36</v>
      </c>
      <c r="AF4" s="210"/>
      <c r="AG4" s="210"/>
      <c r="AH4" s="210"/>
      <c r="AI4" s="210"/>
      <c r="AJ4" s="211"/>
      <c r="AL4" s="209" t="s">
        <v>213</v>
      </c>
      <c r="AM4" s="210"/>
      <c r="AN4" s="210"/>
      <c r="AO4" s="210"/>
      <c r="AP4" s="211"/>
      <c r="AQ4" s="209" t="s">
        <v>211</v>
      </c>
      <c r="AR4" s="210"/>
      <c r="AS4" s="210"/>
      <c r="AT4" s="210"/>
      <c r="AU4" s="210"/>
      <c r="AV4" s="211"/>
      <c r="AW4" s="209" t="s">
        <v>36</v>
      </c>
      <c r="AX4" s="210"/>
      <c r="AY4" s="210"/>
      <c r="AZ4" s="210"/>
      <c r="BA4" s="210"/>
      <c r="BB4" s="211"/>
    </row>
    <row r="5" spans="1:56">
      <c r="B5" s="91" t="s">
        <v>202</v>
      </c>
      <c r="C5" s="90" t="s">
        <v>207</v>
      </c>
      <c r="D5" s="90" t="s">
        <v>214</v>
      </c>
      <c r="E5" s="90" t="s">
        <v>215</v>
      </c>
      <c r="F5" s="92" t="s">
        <v>216</v>
      </c>
      <c r="G5" s="91" t="s">
        <v>202</v>
      </c>
      <c r="H5" s="90" t="s">
        <v>207</v>
      </c>
      <c r="I5" s="90" t="s">
        <v>214</v>
      </c>
      <c r="J5" s="90" t="s">
        <v>215</v>
      </c>
      <c r="K5" s="90" t="s">
        <v>217</v>
      </c>
      <c r="L5" s="92" t="s">
        <v>216</v>
      </c>
      <c r="M5" s="91" t="s">
        <v>202</v>
      </c>
      <c r="N5" s="90" t="s">
        <v>207</v>
      </c>
      <c r="O5" s="90" t="s">
        <v>214</v>
      </c>
      <c r="P5" s="90" t="s">
        <v>215</v>
      </c>
      <c r="Q5" s="90" t="s">
        <v>217</v>
      </c>
      <c r="R5" s="92" t="s">
        <v>216</v>
      </c>
      <c r="T5" s="91" t="s">
        <v>202</v>
      </c>
      <c r="U5" s="90" t="s">
        <v>207</v>
      </c>
      <c r="V5" s="90" t="s">
        <v>214</v>
      </c>
      <c r="W5" s="90" t="s">
        <v>215</v>
      </c>
      <c r="X5" s="92" t="s">
        <v>216</v>
      </c>
      <c r="Y5" s="91" t="s">
        <v>202</v>
      </c>
      <c r="Z5" s="90" t="s">
        <v>207</v>
      </c>
      <c r="AA5" s="90" t="s">
        <v>214</v>
      </c>
      <c r="AB5" s="90" t="s">
        <v>215</v>
      </c>
      <c r="AC5" s="90" t="s">
        <v>217</v>
      </c>
      <c r="AD5" s="92" t="s">
        <v>216</v>
      </c>
      <c r="AE5" s="91" t="s">
        <v>202</v>
      </c>
      <c r="AF5" s="90" t="s">
        <v>207</v>
      </c>
      <c r="AG5" s="90" t="s">
        <v>214</v>
      </c>
      <c r="AH5" s="90" t="s">
        <v>216</v>
      </c>
      <c r="AI5" s="90" t="s">
        <v>217</v>
      </c>
      <c r="AJ5" s="92" t="s">
        <v>216</v>
      </c>
      <c r="AL5" s="91" t="s">
        <v>202</v>
      </c>
      <c r="AM5" s="90" t="s">
        <v>207</v>
      </c>
      <c r="AN5" s="90" t="s">
        <v>214</v>
      </c>
      <c r="AO5" s="90" t="s">
        <v>215</v>
      </c>
      <c r="AP5" s="92" t="s">
        <v>216</v>
      </c>
      <c r="AQ5" s="91" t="s">
        <v>202</v>
      </c>
      <c r="AR5" s="90" t="s">
        <v>207</v>
      </c>
      <c r="AS5" s="90" t="s">
        <v>214</v>
      </c>
      <c r="AT5" s="90" t="s">
        <v>215</v>
      </c>
      <c r="AU5" s="90" t="s">
        <v>217</v>
      </c>
      <c r="AV5" s="92" t="s">
        <v>216</v>
      </c>
      <c r="AW5" s="91" t="s">
        <v>202</v>
      </c>
      <c r="AX5" s="90" t="s">
        <v>207</v>
      </c>
      <c r="AY5" s="90" t="s">
        <v>214</v>
      </c>
      <c r="AZ5" s="90" t="s">
        <v>215</v>
      </c>
      <c r="BA5" s="90" t="s">
        <v>217</v>
      </c>
      <c r="BB5" s="92" t="s">
        <v>216</v>
      </c>
      <c r="BD5" s="83" t="s">
        <v>218</v>
      </c>
    </row>
    <row r="6" spans="1:56">
      <c r="A6" t="s">
        <v>219</v>
      </c>
      <c r="B6" s="93">
        <v>39.51</v>
      </c>
      <c r="C6" s="10">
        <v>0.5</v>
      </c>
      <c r="D6" s="10">
        <v>0</v>
      </c>
      <c r="E6" s="10">
        <v>40.01</v>
      </c>
      <c r="F6" s="94">
        <v>40.01</v>
      </c>
      <c r="G6" s="93"/>
      <c r="H6" s="10"/>
      <c r="I6" s="10"/>
      <c r="J6" s="10"/>
      <c r="K6" s="10"/>
      <c r="L6" s="94"/>
      <c r="M6" s="93"/>
      <c r="N6" s="10"/>
      <c r="O6" s="10"/>
      <c r="P6" s="10"/>
      <c r="Q6" s="10" t="e">
        <v>#REF!</v>
      </c>
      <c r="R6" s="94" t="e">
        <v>#REF!</v>
      </c>
      <c r="S6" s="10"/>
      <c r="T6" s="93"/>
      <c r="U6" s="10"/>
      <c r="V6" s="10"/>
      <c r="W6" s="10">
        <v>0</v>
      </c>
      <c r="X6" s="94">
        <v>0</v>
      </c>
      <c r="Y6" s="93"/>
      <c r="Z6" s="10"/>
      <c r="AA6" s="10"/>
      <c r="AB6" s="10">
        <f>SUM(Y6:AA6)</f>
        <v>0</v>
      </c>
      <c r="AC6" s="10"/>
      <c r="AD6" s="94">
        <f>SUM(AB6:AC6)</f>
        <v>0</v>
      </c>
      <c r="AE6" s="93">
        <f t="shared" ref="AE6:AE23" si="0">Y6-T6</f>
        <v>0</v>
      </c>
      <c r="AF6" s="10">
        <f t="shared" ref="AF6:AF23" si="1">Z6-U6</f>
        <v>0</v>
      </c>
      <c r="AG6" s="10">
        <f t="shared" ref="AG6:AG23" si="2">AA6-V6</f>
        <v>0</v>
      </c>
      <c r="AH6" s="10">
        <f>SUM(AE6:AG6)</f>
        <v>0</v>
      </c>
      <c r="AI6" s="10" t="e">
        <f>AC6-#REF!</f>
        <v>#REF!</v>
      </c>
      <c r="AJ6" s="94" t="e">
        <f>SUM(AH6:AI6)</f>
        <v>#REF!</v>
      </c>
      <c r="AK6" s="10"/>
      <c r="AL6" s="93">
        <f t="shared" ref="AL6:AL25" si="3">B6+T6</f>
        <v>39.51</v>
      </c>
      <c r="AM6" s="10">
        <f t="shared" ref="AM6:AM25" si="4">C6+U6</f>
        <v>0.5</v>
      </c>
      <c r="AN6" s="10">
        <f t="shared" ref="AN6:AN24" si="5">D6+V6</f>
        <v>0</v>
      </c>
      <c r="AO6" s="10">
        <f t="shared" ref="AO6:AO32" si="6">SUM(AL6:AN6)</f>
        <v>40.01</v>
      </c>
      <c r="AP6" s="94">
        <f t="shared" ref="AP6:AP25" si="7">SUM(AO6:AO6)</f>
        <v>40.01</v>
      </c>
      <c r="AQ6" s="93">
        <f t="shared" ref="AQ6:AQ23" si="8">G6+Y6</f>
        <v>0</v>
      </c>
      <c r="AR6" s="10">
        <f t="shared" ref="AR6:AR23" si="9">H6+Z6</f>
        <v>0</v>
      </c>
      <c r="AS6" s="10">
        <f t="shared" ref="AS6:AS23" si="10">I6+AA6</f>
        <v>0</v>
      </c>
      <c r="AT6" s="10">
        <f>SUM(AQ6:AS6)</f>
        <v>0</v>
      </c>
      <c r="AU6" s="10">
        <f t="shared" ref="AU6:AU23" si="11">K6+AC6</f>
        <v>0</v>
      </c>
      <c r="AV6" s="94">
        <f>SUM(AT6:AU6)</f>
        <v>0</v>
      </c>
      <c r="AW6" s="93">
        <f t="shared" ref="AW6:AW23" si="12">AQ6-AL6</f>
        <v>-39.51</v>
      </c>
      <c r="AX6" s="10">
        <f t="shared" ref="AX6:AX23" si="13">AR6-AM6</f>
        <v>-0.5</v>
      </c>
      <c r="AY6" s="10">
        <f t="shared" ref="AY6:AY23" si="14">AS6-AN6</f>
        <v>0</v>
      </c>
      <c r="AZ6" s="10">
        <f t="shared" ref="AZ6:AZ23" si="15">AT6-AO6</f>
        <v>-40.01</v>
      </c>
      <c r="BA6" s="10" t="e">
        <f t="shared" ref="BA6:BA23" si="16">Q6+AI6</f>
        <v>#REF!</v>
      </c>
      <c r="BB6" s="94" t="e">
        <f>SUM(AZ6:BA6)</f>
        <v>#REF!</v>
      </c>
      <c r="BD6" t="s">
        <v>220</v>
      </c>
    </row>
    <row r="7" spans="1:56">
      <c r="A7" t="s">
        <v>221</v>
      </c>
      <c r="B7" s="93">
        <v>10.87</v>
      </c>
      <c r="C7" s="10">
        <v>612.58000000000004</v>
      </c>
      <c r="D7" s="10">
        <v>0</v>
      </c>
      <c r="E7" s="10">
        <v>623.45000000000005</v>
      </c>
      <c r="F7" s="94">
        <v>623.45000000000005</v>
      </c>
      <c r="G7" s="93"/>
      <c r="H7" s="10"/>
      <c r="I7" s="10"/>
      <c r="J7" s="10"/>
      <c r="K7" s="10"/>
      <c r="L7" s="94"/>
      <c r="M7" s="93"/>
      <c r="N7" s="10"/>
      <c r="O7" s="10"/>
      <c r="P7" s="10"/>
      <c r="Q7" s="10" t="e">
        <v>#REF!</v>
      </c>
      <c r="R7" s="94" t="e">
        <v>#REF!</v>
      </c>
      <c r="S7" s="10"/>
      <c r="T7" s="93"/>
      <c r="U7" s="10"/>
      <c r="V7" s="10"/>
      <c r="W7" s="10">
        <v>0</v>
      </c>
      <c r="X7" s="94">
        <v>0</v>
      </c>
      <c r="Y7" s="93"/>
      <c r="Z7" s="10"/>
      <c r="AA7" s="10"/>
      <c r="AB7" s="10">
        <f t="shared" ref="AB7:AB23" si="17">SUM(Y7:AA7)</f>
        <v>0</v>
      </c>
      <c r="AC7" s="10"/>
      <c r="AD7" s="94">
        <f t="shared" ref="AD7:AD25" si="18">SUM(AB7:AC7)</f>
        <v>0</v>
      </c>
      <c r="AE7" s="93">
        <f t="shared" si="0"/>
        <v>0</v>
      </c>
      <c r="AF7" s="10">
        <f t="shared" si="1"/>
        <v>0</v>
      </c>
      <c r="AG7" s="10">
        <f t="shared" si="2"/>
        <v>0</v>
      </c>
      <c r="AH7" s="10">
        <f t="shared" ref="AH7:AH25" si="19">SUM(AE7:AG7)</f>
        <v>0</v>
      </c>
      <c r="AI7" s="10" t="e">
        <f>AC7-#REF!</f>
        <v>#REF!</v>
      </c>
      <c r="AJ7" s="94" t="e">
        <f t="shared" ref="AJ7:AJ23" si="20">SUM(AH7:AI7)</f>
        <v>#REF!</v>
      </c>
      <c r="AK7" s="10"/>
      <c r="AL7" s="93">
        <f t="shared" si="3"/>
        <v>10.87</v>
      </c>
      <c r="AM7" s="10">
        <f t="shared" si="4"/>
        <v>612.58000000000004</v>
      </c>
      <c r="AN7" s="10">
        <f t="shared" si="5"/>
        <v>0</v>
      </c>
      <c r="AO7" s="10">
        <f t="shared" si="6"/>
        <v>623.45000000000005</v>
      </c>
      <c r="AP7" s="94">
        <f t="shared" si="7"/>
        <v>623.45000000000005</v>
      </c>
      <c r="AQ7" s="93">
        <f t="shared" si="8"/>
        <v>0</v>
      </c>
      <c r="AR7" s="10">
        <f t="shared" si="9"/>
        <v>0</v>
      </c>
      <c r="AS7" s="10">
        <f t="shared" si="10"/>
        <v>0</v>
      </c>
      <c r="AT7" s="10">
        <f t="shared" ref="AT7:AT23" si="21">SUM(AQ7:AS7)</f>
        <v>0</v>
      </c>
      <c r="AU7" s="10">
        <f t="shared" si="11"/>
        <v>0</v>
      </c>
      <c r="AV7" s="94">
        <f t="shared" ref="AV7:AV23" si="22">SUM(AT7:AU7)</f>
        <v>0</v>
      </c>
      <c r="AW7" s="93">
        <f t="shared" si="12"/>
        <v>-10.87</v>
      </c>
      <c r="AX7" s="10">
        <f t="shared" si="13"/>
        <v>-612.58000000000004</v>
      </c>
      <c r="AY7" s="10">
        <f t="shared" si="14"/>
        <v>0</v>
      </c>
      <c r="AZ7" s="10">
        <f t="shared" si="15"/>
        <v>-623.45000000000005</v>
      </c>
      <c r="BA7" s="10" t="e">
        <f t="shared" si="16"/>
        <v>#REF!</v>
      </c>
      <c r="BB7" s="94" t="e">
        <f t="shared" ref="BB7:BB23" si="23">SUM(AZ7:BA7)</f>
        <v>#REF!</v>
      </c>
      <c r="BD7" t="s">
        <v>222</v>
      </c>
    </row>
    <row r="8" spans="1:56">
      <c r="A8" t="s">
        <v>223</v>
      </c>
      <c r="B8" s="93">
        <v>1231.48</v>
      </c>
      <c r="C8" s="10">
        <v>4.97</v>
      </c>
      <c r="D8" s="10">
        <v>0</v>
      </c>
      <c r="E8" s="10">
        <v>1236.45</v>
      </c>
      <c r="F8" s="94">
        <v>1236.45</v>
      </c>
      <c r="G8" s="93"/>
      <c r="H8" s="10"/>
      <c r="I8" s="10"/>
      <c r="J8" s="10"/>
      <c r="K8" s="10"/>
      <c r="L8" s="94"/>
      <c r="M8" s="93"/>
      <c r="N8" s="10"/>
      <c r="O8" s="10"/>
      <c r="P8" s="10"/>
      <c r="Q8" s="10" t="e">
        <v>#REF!</v>
      </c>
      <c r="R8" s="94" t="e">
        <v>#REF!</v>
      </c>
      <c r="S8" s="10"/>
      <c r="T8" s="93"/>
      <c r="U8" s="10"/>
      <c r="V8" s="10"/>
      <c r="W8" s="10">
        <v>0</v>
      </c>
      <c r="X8" s="94">
        <v>0</v>
      </c>
      <c r="Y8" s="93"/>
      <c r="Z8" s="10"/>
      <c r="AA8" s="10"/>
      <c r="AB8" s="10">
        <f t="shared" si="17"/>
        <v>0</v>
      </c>
      <c r="AC8" s="10"/>
      <c r="AD8" s="94">
        <f t="shared" si="18"/>
        <v>0</v>
      </c>
      <c r="AE8" s="93">
        <f t="shared" si="0"/>
        <v>0</v>
      </c>
      <c r="AF8" s="10">
        <f t="shared" si="1"/>
        <v>0</v>
      </c>
      <c r="AG8" s="10">
        <f t="shared" si="2"/>
        <v>0</v>
      </c>
      <c r="AH8" s="10">
        <f t="shared" si="19"/>
        <v>0</v>
      </c>
      <c r="AI8" s="10" t="e">
        <f>AC8-#REF!</f>
        <v>#REF!</v>
      </c>
      <c r="AJ8" s="94" t="e">
        <f t="shared" si="20"/>
        <v>#REF!</v>
      </c>
      <c r="AK8" s="10"/>
      <c r="AL8" s="93">
        <f t="shared" si="3"/>
        <v>1231.48</v>
      </c>
      <c r="AM8" s="10">
        <f t="shared" si="4"/>
        <v>4.97</v>
      </c>
      <c r="AN8" s="10">
        <f t="shared" si="5"/>
        <v>0</v>
      </c>
      <c r="AO8" s="10">
        <f t="shared" si="6"/>
        <v>1236.45</v>
      </c>
      <c r="AP8" s="94">
        <f t="shared" si="7"/>
        <v>1236.45</v>
      </c>
      <c r="AQ8" s="93">
        <f t="shared" si="8"/>
        <v>0</v>
      </c>
      <c r="AR8" s="10">
        <f t="shared" si="9"/>
        <v>0</v>
      </c>
      <c r="AS8" s="10">
        <f t="shared" si="10"/>
        <v>0</v>
      </c>
      <c r="AT8" s="10">
        <f t="shared" si="21"/>
        <v>0</v>
      </c>
      <c r="AU8" s="10">
        <f t="shared" si="11"/>
        <v>0</v>
      </c>
      <c r="AV8" s="94">
        <f t="shared" si="22"/>
        <v>0</v>
      </c>
      <c r="AW8" s="93">
        <f t="shared" si="12"/>
        <v>-1231.48</v>
      </c>
      <c r="AX8" s="10">
        <f t="shared" si="13"/>
        <v>-4.97</v>
      </c>
      <c r="AY8" s="10">
        <f t="shared" si="14"/>
        <v>0</v>
      </c>
      <c r="AZ8" s="10">
        <f t="shared" si="15"/>
        <v>-1236.45</v>
      </c>
      <c r="BA8" s="10" t="e">
        <f t="shared" si="16"/>
        <v>#REF!</v>
      </c>
      <c r="BB8" s="94" t="e">
        <f t="shared" si="23"/>
        <v>#REF!</v>
      </c>
      <c r="BD8" t="s">
        <v>224</v>
      </c>
    </row>
    <row r="9" spans="1:56">
      <c r="A9" t="s">
        <v>225</v>
      </c>
      <c r="B9" s="93">
        <v>18575.22</v>
      </c>
      <c r="C9" s="10">
        <v>-109.07</v>
      </c>
      <c r="D9" s="10">
        <v>240</v>
      </c>
      <c r="E9" s="10">
        <v>18706.150000000001</v>
      </c>
      <c r="F9" s="94">
        <v>18706.150000000001</v>
      </c>
      <c r="G9" s="93"/>
      <c r="H9" s="10"/>
      <c r="I9" s="10"/>
      <c r="J9" s="10"/>
      <c r="K9" s="10"/>
      <c r="L9" s="94"/>
      <c r="M9" s="93"/>
      <c r="N9" s="10"/>
      <c r="O9" s="10"/>
      <c r="P9" s="10"/>
      <c r="Q9" s="10" t="e">
        <v>#REF!</v>
      </c>
      <c r="R9" s="94" t="e">
        <v>#REF!</v>
      </c>
      <c r="S9" s="10"/>
      <c r="T9" s="93"/>
      <c r="U9" s="10"/>
      <c r="V9" s="10"/>
      <c r="W9" s="10">
        <v>0</v>
      </c>
      <c r="X9" s="94">
        <v>0</v>
      </c>
      <c r="Y9" s="93"/>
      <c r="Z9" s="10"/>
      <c r="AA9" s="10"/>
      <c r="AB9" s="10">
        <f t="shared" si="17"/>
        <v>0</v>
      </c>
      <c r="AC9" s="10"/>
      <c r="AD9" s="94">
        <f t="shared" si="18"/>
        <v>0</v>
      </c>
      <c r="AE9" s="93">
        <f t="shared" si="0"/>
        <v>0</v>
      </c>
      <c r="AF9" s="10">
        <f t="shared" si="1"/>
        <v>0</v>
      </c>
      <c r="AG9" s="10">
        <f t="shared" si="2"/>
        <v>0</v>
      </c>
      <c r="AH9" s="10">
        <f t="shared" si="19"/>
        <v>0</v>
      </c>
      <c r="AI9" s="10" t="e">
        <f>AC9-#REF!</f>
        <v>#REF!</v>
      </c>
      <c r="AJ9" s="94" t="e">
        <f t="shared" si="20"/>
        <v>#REF!</v>
      </c>
      <c r="AK9" s="10"/>
      <c r="AL9" s="93">
        <f t="shared" si="3"/>
        <v>18575.22</v>
      </c>
      <c r="AM9" s="10">
        <f t="shared" si="4"/>
        <v>-109.07</v>
      </c>
      <c r="AN9" s="10">
        <f t="shared" si="5"/>
        <v>240</v>
      </c>
      <c r="AO9" s="10">
        <f t="shared" si="6"/>
        <v>18706.150000000001</v>
      </c>
      <c r="AP9" s="94">
        <f t="shared" si="7"/>
        <v>18706.150000000001</v>
      </c>
      <c r="AQ9" s="93">
        <f t="shared" si="8"/>
        <v>0</v>
      </c>
      <c r="AR9" s="10">
        <f t="shared" si="9"/>
        <v>0</v>
      </c>
      <c r="AS9" s="10">
        <f t="shared" si="10"/>
        <v>0</v>
      </c>
      <c r="AT9" s="10">
        <f t="shared" si="21"/>
        <v>0</v>
      </c>
      <c r="AU9" s="10">
        <f t="shared" si="11"/>
        <v>0</v>
      </c>
      <c r="AV9" s="94">
        <f t="shared" si="22"/>
        <v>0</v>
      </c>
      <c r="AW9" s="93">
        <f t="shared" si="12"/>
        <v>-18575.22</v>
      </c>
      <c r="AX9" s="10">
        <f t="shared" si="13"/>
        <v>109.07</v>
      </c>
      <c r="AY9" s="10">
        <f t="shared" si="14"/>
        <v>-240</v>
      </c>
      <c r="AZ9" s="10">
        <f t="shared" si="15"/>
        <v>-18706.150000000001</v>
      </c>
      <c r="BA9" s="10" t="e">
        <f t="shared" si="16"/>
        <v>#REF!</v>
      </c>
      <c r="BB9" s="94" t="e">
        <f t="shared" si="23"/>
        <v>#REF!</v>
      </c>
      <c r="BD9" t="s">
        <v>226</v>
      </c>
    </row>
    <row r="10" spans="1:56">
      <c r="A10" t="s">
        <v>227</v>
      </c>
      <c r="B10" s="93">
        <v>500</v>
      </c>
      <c r="C10" s="10">
        <v>0</v>
      </c>
      <c r="D10" s="10">
        <v>0</v>
      </c>
      <c r="E10" s="10">
        <v>500</v>
      </c>
      <c r="F10" s="94">
        <v>500</v>
      </c>
      <c r="G10" s="93"/>
      <c r="H10" s="10"/>
      <c r="I10" s="10"/>
      <c r="J10" s="10"/>
      <c r="K10" s="10"/>
      <c r="L10" s="94"/>
      <c r="M10" s="93"/>
      <c r="N10" s="10"/>
      <c r="O10" s="10"/>
      <c r="P10" s="10"/>
      <c r="Q10" s="10" t="e">
        <v>#REF!</v>
      </c>
      <c r="R10" s="94" t="e">
        <v>#REF!</v>
      </c>
      <c r="S10" s="10"/>
      <c r="T10" s="93"/>
      <c r="U10" s="10"/>
      <c r="V10" s="10"/>
      <c r="W10" s="10">
        <v>0</v>
      </c>
      <c r="X10" s="94">
        <v>0</v>
      </c>
      <c r="Y10" s="93"/>
      <c r="Z10" s="10"/>
      <c r="AA10" s="10"/>
      <c r="AB10" s="10">
        <f t="shared" si="17"/>
        <v>0</v>
      </c>
      <c r="AC10" s="10"/>
      <c r="AD10" s="94">
        <f t="shared" si="18"/>
        <v>0</v>
      </c>
      <c r="AE10" s="93">
        <f t="shared" si="0"/>
        <v>0</v>
      </c>
      <c r="AF10" s="10">
        <f t="shared" si="1"/>
        <v>0</v>
      </c>
      <c r="AG10" s="10">
        <f t="shared" si="2"/>
        <v>0</v>
      </c>
      <c r="AH10" s="10">
        <f t="shared" si="19"/>
        <v>0</v>
      </c>
      <c r="AI10" s="10" t="e">
        <f>AC10-#REF!</f>
        <v>#REF!</v>
      </c>
      <c r="AJ10" s="94" t="e">
        <f t="shared" si="20"/>
        <v>#REF!</v>
      </c>
      <c r="AK10" s="10"/>
      <c r="AL10" s="93">
        <f t="shared" si="3"/>
        <v>500</v>
      </c>
      <c r="AM10" s="10">
        <f t="shared" si="4"/>
        <v>0</v>
      </c>
      <c r="AN10" s="10">
        <f t="shared" si="5"/>
        <v>0</v>
      </c>
      <c r="AO10" s="10">
        <f t="shared" si="6"/>
        <v>500</v>
      </c>
      <c r="AP10" s="94">
        <f t="shared" si="7"/>
        <v>500</v>
      </c>
      <c r="AQ10" s="93">
        <f t="shared" si="8"/>
        <v>0</v>
      </c>
      <c r="AR10" s="10">
        <f t="shared" si="9"/>
        <v>0</v>
      </c>
      <c r="AS10" s="10">
        <f t="shared" si="10"/>
        <v>0</v>
      </c>
      <c r="AT10" s="10">
        <f t="shared" si="21"/>
        <v>0</v>
      </c>
      <c r="AU10" s="10">
        <f t="shared" si="11"/>
        <v>0</v>
      </c>
      <c r="AV10" s="94">
        <f t="shared" si="22"/>
        <v>0</v>
      </c>
      <c r="AW10" s="93">
        <f t="shared" si="12"/>
        <v>-500</v>
      </c>
      <c r="AX10" s="10">
        <f t="shared" si="13"/>
        <v>0</v>
      </c>
      <c r="AY10" s="10">
        <f t="shared" si="14"/>
        <v>0</v>
      </c>
      <c r="AZ10" s="10">
        <f t="shared" si="15"/>
        <v>-500</v>
      </c>
      <c r="BA10" s="10" t="e">
        <f t="shared" si="16"/>
        <v>#REF!</v>
      </c>
      <c r="BB10" s="94" t="e">
        <f t="shared" si="23"/>
        <v>#REF!</v>
      </c>
      <c r="BD10" t="s">
        <v>222</v>
      </c>
    </row>
    <row r="11" spans="1:56">
      <c r="A11" t="s">
        <v>228</v>
      </c>
      <c r="B11" s="93">
        <v>1609.49</v>
      </c>
      <c r="C11" s="10">
        <v>6.2</v>
      </c>
      <c r="D11" s="10">
        <v>0</v>
      </c>
      <c r="E11" s="10">
        <v>1615.69</v>
      </c>
      <c r="F11" s="94">
        <v>1615.69</v>
      </c>
      <c r="G11" s="93"/>
      <c r="H11" s="10"/>
      <c r="I11" s="10"/>
      <c r="J11" s="10"/>
      <c r="K11" s="10"/>
      <c r="L11" s="94"/>
      <c r="M11" s="93"/>
      <c r="N11" s="10"/>
      <c r="O11" s="10"/>
      <c r="P11" s="10"/>
      <c r="Q11" s="10" t="e">
        <v>#REF!</v>
      </c>
      <c r="R11" s="94" t="e">
        <v>#REF!</v>
      </c>
      <c r="S11" s="10"/>
      <c r="T11" s="93"/>
      <c r="U11" s="10"/>
      <c r="V11" s="10"/>
      <c r="W11" s="10">
        <v>0</v>
      </c>
      <c r="X11" s="94">
        <v>0</v>
      </c>
      <c r="Y11" s="93"/>
      <c r="Z11" s="10"/>
      <c r="AA11" s="10"/>
      <c r="AB11" s="10">
        <f t="shared" si="17"/>
        <v>0</v>
      </c>
      <c r="AC11" s="10"/>
      <c r="AD11" s="94">
        <f t="shared" si="18"/>
        <v>0</v>
      </c>
      <c r="AE11" s="93">
        <f t="shared" si="0"/>
        <v>0</v>
      </c>
      <c r="AF11" s="10">
        <f t="shared" si="1"/>
        <v>0</v>
      </c>
      <c r="AG11" s="10">
        <f t="shared" si="2"/>
        <v>0</v>
      </c>
      <c r="AH11" s="10">
        <f t="shared" si="19"/>
        <v>0</v>
      </c>
      <c r="AI11" s="10" t="e">
        <f>AC11-#REF!</f>
        <v>#REF!</v>
      </c>
      <c r="AJ11" s="94" t="e">
        <f t="shared" si="20"/>
        <v>#REF!</v>
      </c>
      <c r="AK11" s="10"/>
      <c r="AL11" s="93">
        <f t="shared" si="3"/>
        <v>1609.49</v>
      </c>
      <c r="AM11" s="10">
        <f t="shared" si="4"/>
        <v>6.2</v>
      </c>
      <c r="AN11" s="10">
        <f t="shared" si="5"/>
        <v>0</v>
      </c>
      <c r="AO11" s="10">
        <f t="shared" si="6"/>
        <v>1615.69</v>
      </c>
      <c r="AP11" s="94">
        <f t="shared" si="7"/>
        <v>1615.69</v>
      </c>
      <c r="AQ11" s="93">
        <f t="shared" si="8"/>
        <v>0</v>
      </c>
      <c r="AR11" s="10">
        <f t="shared" si="9"/>
        <v>0</v>
      </c>
      <c r="AS11" s="10">
        <f t="shared" si="10"/>
        <v>0</v>
      </c>
      <c r="AT11" s="10">
        <f t="shared" si="21"/>
        <v>0</v>
      </c>
      <c r="AU11" s="10">
        <f t="shared" si="11"/>
        <v>0</v>
      </c>
      <c r="AV11" s="94">
        <f t="shared" si="22"/>
        <v>0</v>
      </c>
      <c r="AW11" s="93">
        <f t="shared" si="12"/>
        <v>-1609.49</v>
      </c>
      <c r="AX11" s="10">
        <f t="shared" si="13"/>
        <v>-6.2</v>
      </c>
      <c r="AY11" s="10">
        <f t="shared" si="14"/>
        <v>0</v>
      </c>
      <c r="AZ11" s="10">
        <f t="shared" si="15"/>
        <v>-1615.69</v>
      </c>
      <c r="BA11" s="10" t="e">
        <f t="shared" si="16"/>
        <v>#REF!</v>
      </c>
      <c r="BB11" s="94" t="e">
        <f t="shared" si="23"/>
        <v>#REF!</v>
      </c>
      <c r="BD11" t="s">
        <v>229</v>
      </c>
    </row>
    <row r="12" spans="1:56">
      <c r="A12" t="s">
        <v>230</v>
      </c>
      <c r="B12" s="93">
        <v>50</v>
      </c>
      <c r="C12" s="10">
        <v>3.2</v>
      </c>
      <c r="D12" s="10">
        <v>0</v>
      </c>
      <c r="E12" s="10">
        <v>53.2</v>
      </c>
      <c r="F12" s="94">
        <v>53.2</v>
      </c>
      <c r="G12" s="93"/>
      <c r="H12" s="10"/>
      <c r="I12" s="10"/>
      <c r="J12" s="10"/>
      <c r="K12" s="10"/>
      <c r="L12" s="94"/>
      <c r="M12" s="93"/>
      <c r="N12" s="10"/>
      <c r="O12" s="10"/>
      <c r="P12" s="10"/>
      <c r="Q12" s="10" t="e">
        <v>#REF!</v>
      </c>
      <c r="R12" s="94" t="e">
        <v>#REF!</v>
      </c>
      <c r="S12" s="10"/>
      <c r="T12" s="93"/>
      <c r="U12" s="10"/>
      <c r="V12" s="10"/>
      <c r="W12" s="10">
        <v>0</v>
      </c>
      <c r="X12" s="94">
        <v>0</v>
      </c>
      <c r="Y12" s="93"/>
      <c r="Z12" s="10"/>
      <c r="AA12" s="10"/>
      <c r="AB12" s="10">
        <f t="shared" si="17"/>
        <v>0</v>
      </c>
      <c r="AC12" s="10"/>
      <c r="AD12" s="94">
        <f t="shared" si="18"/>
        <v>0</v>
      </c>
      <c r="AE12" s="93">
        <f t="shared" si="0"/>
        <v>0</v>
      </c>
      <c r="AF12" s="10">
        <f t="shared" si="1"/>
        <v>0</v>
      </c>
      <c r="AG12" s="10">
        <f t="shared" si="2"/>
        <v>0</v>
      </c>
      <c r="AH12" s="10">
        <f t="shared" si="19"/>
        <v>0</v>
      </c>
      <c r="AI12" s="10" t="e">
        <f>AC12-#REF!</f>
        <v>#REF!</v>
      </c>
      <c r="AJ12" s="94" t="e">
        <f t="shared" si="20"/>
        <v>#REF!</v>
      </c>
      <c r="AK12" s="10"/>
      <c r="AL12" s="93">
        <f t="shared" si="3"/>
        <v>50</v>
      </c>
      <c r="AM12" s="10">
        <f t="shared" si="4"/>
        <v>3.2</v>
      </c>
      <c r="AN12" s="10">
        <f t="shared" si="5"/>
        <v>0</v>
      </c>
      <c r="AO12" s="10">
        <f t="shared" si="6"/>
        <v>53.2</v>
      </c>
      <c r="AP12" s="94">
        <f t="shared" si="7"/>
        <v>53.2</v>
      </c>
      <c r="AQ12" s="93">
        <f t="shared" si="8"/>
        <v>0</v>
      </c>
      <c r="AR12" s="10">
        <f t="shared" si="9"/>
        <v>0</v>
      </c>
      <c r="AS12" s="10">
        <f t="shared" si="10"/>
        <v>0</v>
      </c>
      <c r="AT12" s="10">
        <f t="shared" si="21"/>
        <v>0</v>
      </c>
      <c r="AU12" s="10">
        <f t="shared" si="11"/>
        <v>0</v>
      </c>
      <c r="AV12" s="94">
        <f t="shared" si="22"/>
        <v>0</v>
      </c>
      <c r="AW12" s="93">
        <f t="shared" si="12"/>
        <v>-50</v>
      </c>
      <c r="AX12" s="10">
        <f t="shared" si="13"/>
        <v>-3.2</v>
      </c>
      <c r="AY12" s="10">
        <f t="shared" si="14"/>
        <v>0</v>
      </c>
      <c r="AZ12" s="10">
        <f t="shared" si="15"/>
        <v>-53.2</v>
      </c>
      <c r="BA12" s="10" t="e">
        <f t="shared" si="16"/>
        <v>#REF!</v>
      </c>
      <c r="BB12" s="94" t="e">
        <f t="shared" si="23"/>
        <v>#REF!</v>
      </c>
      <c r="BD12" t="s">
        <v>231</v>
      </c>
    </row>
    <row r="13" spans="1:56">
      <c r="A13" t="s">
        <v>232</v>
      </c>
      <c r="B13" s="93">
        <v>59.23</v>
      </c>
      <c r="C13" s="10">
        <v>3.87</v>
      </c>
      <c r="D13" s="10">
        <v>0</v>
      </c>
      <c r="E13" s="10">
        <v>63.099999999999994</v>
      </c>
      <c r="F13" s="94">
        <v>63.099999999999994</v>
      </c>
      <c r="G13" s="93"/>
      <c r="H13" s="10"/>
      <c r="I13" s="10"/>
      <c r="J13" s="10"/>
      <c r="K13" s="10"/>
      <c r="L13" s="94"/>
      <c r="M13" s="93"/>
      <c r="N13" s="10"/>
      <c r="O13" s="10"/>
      <c r="P13" s="10"/>
      <c r="Q13" s="10" t="e">
        <v>#REF!</v>
      </c>
      <c r="R13" s="94" t="e">
        <v>#REF!</v>
      </c>
      <c r="S13" s="10"/>
      <c r="T13" s="93"/>
      <c r="U13" s="10"/>
      <c r="V13" s="10"/>
      <c r="W13" s="10">
        <v>0</v>
      </c>
      <c r="X13" s="94">
        <v>0</v>
      </c>
      <c r="Y13" s="93"/>
      <c r="Z13" s="10"/>
      <c r="AA13" s="10"/>
      <c r="AB13" s="10">
        <f t="shared" si="17"/>
        <v>0</v>
      </c>
      <c r="AC13" s="10"/>
      <c r="AD13" s="94">
        <f t="shared" si="18"/>
        <v>0</v>
      </c>
      <c r="AE13" s="93">
        <f t="shared" si="0"/>
        <v>0</v>
      </c>
      <c r="AF13" s="10">
        <f t="shared" si="1"/>
        <v>0</v>
      </c>
      <c r="AG13" s="10">
        <f t="shared" si="2"/>
        <v>0</v>
      </c>
      <c r="AH13" s="10">
        <f t="shared" si="19"/>
        <v>0</v>
      </c>
      <c r="AI13" s="10" t="e">
        <f>AC13-#REF!</f>
        <v>#REF!</v>
      </c>
      <c r="AJ13" s="94" t="e">
        <f t="shared" si="20"/>
        <v>#REF!</v>
      </c>
      <c r="AK13" s="10"/>
      <c r="AL13" s="93">
        <f t="shared" si="3"/>
        <v>59.23</v>
      </c>
      <c r="AM13" s="10">
        <f t="shared" si="4"/>
        <v>3.87</v>
      </c>
      <c r="AN13" s="10">
        <f t="shared" si="5"/>
        <v>0</v>
      </c>
      <c r="AO13" s="10">
        <f t="shared" si="6"/>
        <v>63.099999999999994</v>
      </c>
      <c r="AP13" s="94">
        <f t="shared" si="7"/>
        <v>63.099999999999994</v>
      </c>
      <c r="AQ13" s="93">
        <f t="shared" si="8"/>
        <v>0</v>
      </c>
      <c r="AR13" s="10">
        <f t="shared" si="9"/>
        <v>0</v>
      </c>
      <c r="AS13" s="10">
        <f t="shared" si="10"/>
        <v>0</v>
      </c>
      <c r="AT13" s="10">
        <f t="shared" si="21"/>
        <v>0</v>
      </c>
      <c r="AU13" s="10">
        <f t="shared" si="11"/>
        <v>0</v>
      </c>
      <c r="AV13" s="94">
        <f t="shared" si="22"/>
        <v>0</v>
      </c>
      <c r="AW13" s="93">
        <f t="shared" si="12"/>
        <v>-59.23</v>
      </c>
      <c r="AX13" s="10">
        <f t="shared" si="13"/>
        <v>-3.87</v>
      </c>
      <c r="AY13" s="10">
        <f t="shared" si="14"/>
        <v>0</v>
      </c>
      <c r="AZ13" s="10">
        <f t="shared" si="15"/>
        <v>-63.099999999999994</v>
      </c>
      <c r="BA13" s="10" t="e">
        <f t="shared" si="16"/>
        <v>#REF!</v>
      </c>
      <c r="BB13" s="94" t="e">
        <f t="shared" si="23"/>
        <v>#REF!</v>
      </c>
      <c r="BD13" t="s">
        <v>233</v>
      </c>
    </row>
    <row r="14" spans="1:56">
      <c r="A14" t="s">
        <v>234</v>
      </c>
      <c r="B14" s="93">
        <v>1000</v>
      </c>
      <c r="C14" s="10">
        <v>-6</v>
      </c>
      <c r="D14" s="10">
        <v>0</v>
      </c>
      <c r="E14" s="10">
        <v>994</v>
      </c>
      <c r="F14" s="94">
        <v>994</v>
      </c>
      <c r="G14" s="93"/>
      <c r="H14" s="10"/>
      <c r="I14" s="10"/>
      <c r="J14" s="10"/>
      <c r="K14" s="10"/>
      <c r="L14" s="94"/>
      <c r="M14" s="93"/>
      <c r="N14" s="10"/>
      <c r="O14" s="10"/>
      <c r="P14" s="10"/>
      <c r="Q14" s="10" t="e">
        <v>#REF!</v>
      </c>
      <c r="R14" s="94" t="e">
        <v>#REF!</v>
      </c>
      <c r="S14" s="10"/>
      <c r="T14" s="93"/>
      <c r="U14" s="10"/>
      <c r="V14" s="10"/>
      <c r="W14" s="10">
        <v>0</v>
      </c>
      <c r="X14" s="94">
        <v>0</v>
      </c>
      <c r="Y14" s="93"/>
      <c r="Z14" s="10"/>
      <c r="AA14" s="10"/>
      <c r="AB14" s="10">
        <f t="shared" si="17"/>
        <v>0</v>
      </c>
      <c r="AC14" s="10"/>
      <c r="AD14" s="94">
        <f t="shared" si="18"/>
        <v>0</v>
      </c>
      <c r="AE14" s="93">
        <f t="shared" si="0"/>
        <v>0</v>
      </c>
      <c r="AF14" s="10">
        <f t="shared" si="1"/>
        <v>0</v>
      </c>
      <c r="AG14" s="10">
        <f t="shared" si="2"/>
        <v>0</v>
      </c>
      <c r="AH14" s="10">
        <f t="shared" si="19"/>
        <v>0</v>
      </c>
      <c r="AI14" s="10" t="e">
        <f>AC14-#REF!</f>
        <v>#REF!</v>
      </c>
      <c r="AJ14" s="94" t="e">
        <f t="shared" si="20"/>
        <v>#REF!</v>
      </c>
      <c r="AK14" s="10"/>
      <c r="AL14" s="93">
        <f t="shared" si="3"/>
        <v>1000</v>
      </c>
      <c r="AM14" s="10">
        <f t="shared" si="4"/>
        <v>-6</v>
      </c>
      <c r="AN14" s="10">
        <f t="shared" si="5"/>
        <v>0</v>
      </c>
      <c r="AO14" s="10">
        <f t="shared" si="6"/>
        <v>994</v>
      </c>
      <c r="AP14" s="94">
        <f t="shared" si="7"/>
        <v>994</v>
      </c>
      <c r="AQ14" s="93">
        <f t="shared" si="8"/>
        <v>0</v>
      </c>
      <c r="AR14" s="10">
        <f t="shared" si="9"/>
        <v>0</v>
      </c>
      <c r="AS14" s="10">
        <f t="shared" si="10"/>
        <v>0</v>
      </c>
      <c r="AT14" s="10">
        <f t="shared" si="21"/>
        <v>0</v>
      </c>
      <c r="AU14" s="10">
        <f t="shared" si="11"/>
        <v>0</v>
      </c>
      <c r="AV14" s="94">
        <f t="shared" si="22"/>
        <v>0</v>
      </c>
      <c r="AW14" s="93">
        <f t="shared" si="12"/>
        <v>-1000</v>
      </c>
      <c r="AX14" s="10">
        <f t="shared" si="13"/>
        <v>6</v>
      </c>
      <c r="AY14" s="10">
        <f t="shared" si="14"/>
        <v>0</v>
      </c>
      <c r="AZ14" s="10">
        <f t="shared" si="15"/>
        <v>-994</v>
      </c>
      <c r="BA14" s="10" t="e">
        <f t="shared" si="16"/>
        <v>#REF!</v>
      </c>
      <c r="BB14" s="94" t="e">
        <f t="shared" si="23"/>
        <v>#REF!</v>
      </c>
      <c r="BD14" t="s">
        <v>235</v>
      </c>
    </row>
    <row r="15" spans="1:56">
      <c r="A15" t="s">
        <v>236</v>
      </c>
      <c r="B15" s="93">
        <v>20000</v>
      </c>
      <c r="C15" s="10">
        <v>0</v>
      </c>
      <c r="D15" s="10">
        <v>0</v>
      </c>
      <c r="E15" s="10">
        <v>20000</v>
      </c>
      <c r="F15" s="94">
        <v>20000</v>
      </c>
      <c r="G15" s="93"/>
      <c r="H15" s="10"/>
      <c r="I15" s="10"/>
      <c r="J15" s="10"/>
      <c r="K15" s="10"/>
      <c r="L15" s="94"/>
      <c r="M15" s="93"/>
      <c r="N15" s="10"/>
      <c r="O15" s="10"/>
      <c r="P15" s="10"/>
      <c r="Q15" s="10" t="e">
        <v>#REF!</v>
      </c>
      <c r="R15" s="94" t="e">
        <v>#REF!</v>
      </c>
      <c r="S15" s="10"/>
      <c r="T15" s="93"/>
      <c r="U15" s="10"/>
      <c r="V15" s="10"/>
      <c r="W15" s="10">
        <v>0</v>
      </c>
      <c r="X15" s="94">
        <v>0</v>
      </c>
      <c r="Y15" s="93"/>
      <c r="Z15" s="10"/>
      <c r="AA15" s="10"/>
      <c r="AB15" s="10">
        <f t="shared" si="17"/>
        <v>0</v>
      </c>
      <c r="AC15" s="10"/>
      <c r="AD15" s="94">
        <f t="shared" si="18"/>
        <v>0</v>
      </c>
      <c r="AE15" s="93">
        <f t="shared" si="0"/>
        <v>0</v>
      </c>
      <c r="AF15" s="10">
        <f t="shared" si="1"/>
        <v>0</v>
      </c>
      <c r="AG15" s="10">
        <f t="shared" si="2"/>
        <v>0</v>
      </c>
      <c r="AH15" s="10">
        <f t="shared" si="19"/>
        <v>0</v>
      </c>
      <c r="AI15" s="10" t="e">
        <f>AC15-#REF!</f>
        <v>#REF!</v>
      </c>
      <c r="AJ15" s="94" t="e">
        <f t="shared" si="20"/>
        <v>#REF!</v>
      </c>
      <c r="AK15" s="10"/>
      <c r="AL15" s="93">
        <f t="shared" si="3"/>
        <v>20000</v>
      </c>
      <c r="AM15" s="10">
        <f t="shared" si="4"/>
        <v>0</v>
      </c>
      <c r="AN15" s="10">
        <f t="shared" si="5"/>
        <v>0</v>
      </c>
      <c r="AO15" s="10">
        <f t="shared" si="6"/>
        <v>20000</v>
      </c>
      <c r="AP15" s="94">
        <f t="shared" si="7"/>
        <v>20000</v>
      </c>
      <c r="AQ15" s="93">
        <f t="shared" si="8"/>
        <v>0</v>
      </c>
      <c r="AR15" s="10">
        <f t="shared" si="9"/>
        <v>0</v>
      </c>
      <c r="AS15" s="10">
        <f t="shared" si="10"/>
        <v>0</v>
      </c>
      <c r="AT15" s="10">
        <f t="shared" si="21"/>
        <v>0</v>
      </c>
      <c r="AU15" s="10">
        <f t="shared" si="11"/>
        <v>0</v>
      </c>
      <c r="AV15" s="94">
        <f t="shared" si="22"/>
        <v>0</v>
      </c>
      <c r="AW15" s="93">
        <f t="shared" si="12"/>
        <v>-20000</v>
      </c>
      <c r="AX15" s="10">
        <f t="shared" si="13"/>
        <v>0</v>
      </c>
      <c r="AY15" s="10">
        <f t="shared" si="14"/>
        <v>0</v>
      </c>
      <c r="AZ15" s="10">
        <f t="shared" si="15"/>
        <v>-20000</v>
      </c>
      <c r="BA15" s="10" t="e">
        <f t="shared" si="16"/>
        <v>#REF!</v>
      </c>
      <c r="BB15" s="94" t="e">
        <f t="shared" si="23"/>
        <v>#REF!</v>
      </c>
      <c r="BD15" t="s">
        <v>237</v>
      </c>
    </row>
    <row r="16" spans="1:56">
      <c r="A16" t="s">
        <v>238</v>
      </c>
      <c r="B16" s="93">
        <v>50</v>
      </c>
      <c r="C16" s="10">
        <v>478.69</v>
      </c>
      <c r="D16" s="10">
        <v>0</v>
      </c>
      <c r="E16" s="10">
        <v>528.69000000000005</v>
      </c>
      <c r="F16" s="94">
        <v>528.69000000000005</v>
      </c>
      <c r="G16" s="93"/>
      <c r="H16" s="10"/>
      <c r="I16" s="10"/>
      <c r="J16" s="10"/>
      <c r="K16" s="10"/>
      <c r="L16" s="94"/>
      <c r="M16" s="93"/>
      <c r="N16" s="10"/>
      <c r="O16" s="10"/>
      <c r="P16" s="10"/>
      <c r="Q16" s="10" t="e">
        <v>#REF!</v>
      </c>
      <c r="R16" s="94" t="e">
        <v>#REF!</v>
      </c>
      <c r="S16" s="10"/>
      <c r="T16" s="93"/>
      <c r="U16" s="10"/>
      <c r="V16" s="10"/>
      <c r="W16" s="10">
        <v>0</v>
      </c>
      <c r="X16" s="94">
        <v>0</v>
      </c>
      <c r="Y16" s="93"/>
      <c r="Z16" s="10"/>
      <c r="AA16" s="10"/>
      <c r="AB16" s="10">
        <f t="shared" si="17"/>
        <v>0</v>
      </c>
      <c r="AC16" s="10"/>
      <c r="AD16" s="94">
        <f t="shared" si="18"/>
        <v>0</v>
      </c>
      <c r="AE16" s="93">
        <f t="shared" si="0"/>
        <v>0</v>
      </c>
      <c r="AF16" s="10">
        <f t="shared" si="1"/>
        <v>0</v>
      </c>
      <c r="AG16" s="10">
        <f t="shared" si="2"/>
        <v>0</v>
      </c>
      <c r="AH16" s="10">
        <f t="shared" si="19"/>
        <v>0</v>
      </c>
      <c r="AI16" s="10" t="e">
        <f>AC16-#REF!</f>
        <v>#REF!</v>
      </c>
      <c r="AJ16" s="94" t="e">
        <f t="shared" si="20"/>
        <v>#REF!</v>
      </c>
      <c r="AK16" s="10"/>
      <c r="AL16" s="93">
        <f t="shared" si="3"/>
        <v>50</v>
      </c>
      <c r="AM16" s="10">
        <f t="shared" si="4"/>
        <v>478.69</v>
      </c>
      <c r="AN16" s="10">
        <f t="shared" si="5"/>
        <v>0</v>
      </c>
      <c r="AO16" s="10">
        <f t="shared" si="6"/>
        <v>528.69000000000005</v>
      </c>
      <c r="AP16" s="94">
        <f t="shared" si="7"/>
        <v>528.69000000000005</v>
      </c>
      <c r="AQ16" s="93">
        <f t="shared" si="8"/>
        <v>0</v>
      </c>
      <c r="AR16" s="10">
        <f t="shared" si="9"/>
        <v>0</v>
      </c>
      <c r="AS16" s="10">
        <f t="shared" si="10"/>
        <v>0</v>
      </c>
      <c r="AT16" s="10">
        <f t="shared" si="21"/>
        <v>0</v>
      </c>
      <c r="AU16" s="10">
        <f t="shared" si="11"/>
        <v>0</v>
      </c>
      <c r="AV16" s="94">
        <f t="shared" si="22"/>
        <v>0</v>
      </c>
      <c r="AW16" s="93">
        <f t="shared" si="12"/>
        <v>-50</v>
      </c>
      <c r="AX16" s="10">
        <f t="shared" si="13"/>
        <v>-478.69</v>
      </c>
      <c r="AY16" s="10">
        <f t="shared" si="14"/>
        <v>0</v>
      </c>
      <c r="AZ16" s="10">
        <f t="shared" si="15"/>
        <v>-528.69000000000005</v>
      </c>
      <c r="BA16" s="10" t="e">
        <f t="shared" si="16"/>
        <v>#REF!</v>
      </c>
      <c r="BB16" s="94" t="e">
        <f t="shared" si="23"/>
        <v>#REF!</v>
      </c>
      <c r="BD16" t="s">
        <v>222</v>
      </c>
    </row>
    <row r="17" spans="1:56">
      <c r="A17" t="s">
        <v>239</v>
      </c>
      <c r="B17" s="93">
        <v>500</v>
      </c>
      <c r="C17" s="10">
        <v>32.07</v>
      </c>
      <c r="D17" s="10">
        <v>0</v>
      </c>
      <c r="E17" s="10">
        <v>532.07000000000005</v>
      </c>
      <c r="F17" s="94">
        <v>532.07000000000005</v>
      </c>
      <c r="G17" s="93"/>
      <c r="H17" s="10"/>
      <c r="I17" s="10"/>
      <c r="J17" s="10"/>
      <c r="K17" s="10"/>
      <c r="L17" s="94"/>
      <c r="M17" s="93"/>
      <c r="N17" s="10"/>
      <c r="O17" s="10"/>
      <c r="P17" s="10"/>
      <c r="Q17" s="10" t="e">
        <v>#REF!</v>
      </c>
      <c r="R17" s="94" t="e">
        <v>#REF!</v>
      </c>
      <c r="S17" s="10"/>
      <c r="T17" s="93"/>
      <c r="U17" s="10"/>
      <c r="V17" s="10"/>
      <c r="W17" s="10">
        <v>0</v>
      </c>
      <c r="X17" s="94">
        <v>0</v>
      </c>
      <c r="Y17" s="93"/>
      <c r="Z17" s="10"/>
      <c r="AA17" s="10"/>
      <c r="AB17" s="10">
        <f t="shared" si="17"/>
        <v>0</v>
      </c>
      <c r="AC17" s="10"/>
      <c r="AD17" s="94">
        <f t="shared" si="18"/>
        <v>0</v>
      </c>
      <c r="AE17" s="93">
        <f t="shared" si="0"/>
        <v>0</v>
      </c>
      <c r="AF17" s="10">
        <f t="shared" si="1"/>
        <v>0</v>
      </c>
      <c r="AG17" s="10">
        <f t="shared" si="2"/>
        <v>0</v>
      </c>
      <c r="AH17" s="10">
        <f t="shared" si="19"/>
        <v>0</v>
      </c>
      <c r="AI17" s="10" t="e">
        <f>AC17-#REF!</f>
        <v>#REF!</v>
      </c>
      <c r="AJ17" s="94" t="e">
        <f t="shared" si="20"/>
        <v>#REF!</v>
      </c>
      <c r="AK17" s="10"/>
      <c r="AL17" s="93">
        <f t="shared" si="3"/>
        <v>500</v>
      </c>
      <c r="AM17" s="10">
        <f t="shared" si="4"/>
        <v>32.07</v>
      </c>
      <c r="AN17" s="10">
        <f t="shared" si="5"/>
        <v>0</v>
      </c>
      <c r="AO17" s="10">
        <f t="shared" si="6"/>
        <v>532.07000000000005</v>
      </c>
      <c r="AP17" s="94">
        <f t="shared" si="7"/>
        <v>532.07000000000005</v>
      </c>
      <c r="AQ17" s="93">
        <f t="shared" si="8"/>
        <v>0</v>
      </c>
      <c r="AR17" s="10">
        <f t="shared" si="9"/>
        <v>0</v>
      </c>
      <c r="AS17" s="10">
        <f t="shared" si="10"/>
        <v>0</v>
      </c>
      <c r="AT17" s="10">
        <f t="shared" si="21"/>
        <v>0</v>
      </c>
      <c r="AU17" s="10">
        <f t="shared" si="11"/>
        <v>0</v>
      </c>
      <c r="AV17" s="94">
        <f t="shared" si="22"/>
        <v>0</v>
      </c>
      <c r="AW17" s="93">
        <f t="shared" si="12"/>
        <v>-500</v>
      </c>
      <c r="AX17" s="10">
        <f t="shared" si="13"/>
        <v>-32.07</v>
      </c>
      <c r="AY17" s="10">
        <f t="shared" si="14"/>
        <v>0</v>
      </c>
      <c r="AZ17" s="10">
        <f t="shared" si="15"/>
        <v>-532.07000000000005</v>
      </c>
      <c r="BA17" s="10" t="e">
        <f t="shared" si="16"/>
        <v>#REF!</v>
      </c>
      <c r="BB17" s="94" t="e">
        <f t="shared" si="23"/>
        <v>#REF!</v>
      </c>
      <c r="BD17" t="s">
        <v>231</v>
      </c>
    </row>
    <row r="18" spans="1:56">
      <c r="A18" t="s">
        <v>240</v>
      </c>
      <c r="B18" s="93">
        <v>616.99</v>
      </c>
      <c r="C18" s="10">
        <v>-196.88</v>
      </c>
      <c r="D18" s="10">
        <v>0</v>
      </c>
      <c r="E18" s="10">
        <v>420.11</v>
      </c>
      <c r="F18" s="94">
        <v>420.11</v>
      </c>
      <c r="G18" s="93"/>
      <c r="H18" s="10"/>
      <c r="I18" s="10"/>
      <c r="J18" s="10"/>
      <c r="K18" s="10"/>
      <c r="L18" s="94"/>
      <c r="M18" s="93"/>
      <c r="N18" s="10"/>
      <c r="O18" s="10"/>
      <c r="P18" s="10"/>
      <c r="Q18" s="10" t="e">
        <v>#REF!</v>
      </c>
      <c r="R18" s="94" t="e">
        <v>#REF!</v>
      </c>
      <c r="S18" s="10"/>
      <c r="T18" s="93"/>
      <c r="U18" s="10"/>
      <c r="V18" s="10"/>
      <c r="W18" s="10">
        <v>0</v>
      </c>
      <c r="X18" s="94">
        <v>0</v>
      </c>
      <c r="Y18" s="93"/>
      <c r="Z18" s="10"/>
      <c r="AA18" s="10"/>
      <c r="AB18" s="10">
        <f t="shared" si="17"/>
        <v>0</v>
      </c>
      <c r="AC18" s="10"/>
      <c r="AD18" s="94">
        <f t="shared" si="18"/>
        <v>0</v>
      </c>
      <c r="AE18" s="93">
        <f t="shared" si="0"/>
        <v>0</v>
      </c>
      <c r="AF18" s="10">
        <f t="shared" si="1"/>
        <v>0</v>
      </c>
      <c r="AG18" s="10">
        <f t="shared" si="2"/>
        <v>0</v>
      </c>
      <c r="AH18" s="10">
        <f t="shared" si="19"/>
        <v>0</v>
      </c>
      <c r="AI18" s="10" t="e">
        <f>AC18-#REF!</f>
        <v>#REF!</v>
      </c>
      <c r="AJ18" s="94" t="e">
        <f t="shared" si="20"/>
        <v>#REF!</v>
      </c>
      <c r="AK18" s="10"/>
      <c r="AL18" s="93">
        <f t="shared" si="3"/>
        <v>616.99</v>
      </c>
      <c r="AM18" s="10">
        <f t="shared" si="4"/>
        <v>-196.88</v>
      </c>
      <c r="AN18" s="10">
        <f t="shared" si="5"/>
        <v>0</v>
      </c>
      <c r="AO18" s="10">
        <f t="shared" si="6"/>
        <v>420.11</v>
      </c>
      <c r="AP18" s="94">
        <f t="shared" si="7"/>
        <v>420.11</v>
      </c>
      <c r="AQ18" s="93">
        <f t="shared" si="8"/>
        <v>0</v>
      </c>
      <c r="AR18" s="10">
        <f t="shared" si="9"/>
        <v>0</v>
      </c>
      <c r="AS18" s="10">
        <f t="shared" si="10"/>
        <v>0</v>
      </c>
      <c r="AT18" s="10">
        <f t="shared" si="21"/>
        <v>0</v>
      </c>
      <c r="AU18" s="10">
        <f t="shared" si="11"/>
        <v>0</v>
      </c>
      <c r="AV18" s="94">
        <f t="shared" si="22"/>
        <v>0</v>
      </c>
      <c r="AW18" s="93">
        <f t="shared" si="12"/>
        <v>-616.99</v>
      </c>
      <c r="AX18" s="10">
        <f t="shared" si="13"/>
        <v>196.88</v>
      </c>
      <c r="AY18" s="10">
        <f t="shared" si="14"/>
        <v>0</v>
      </c>
      <c r="AZ18" s="10">
        <f t="shared" si="15"/>
        <v>-420.11</v>
      </c>
      <c r="BA18" s="10" t="e">
        <f t="shared" si="16"/>
        <v>#REF!</v>
      </c>
      <c r="BB18" s="94" t="e">
        <f t="shared" si="23"/>
        <v>#REF!</v>
      </c>
      <c r="BD18" t="s">
        <v>241</v>
      </c>
    </row>
    <row r="19" spans="1:56">
      <c r="A19" t="s">
        <v>242</v>
      </c>
      <c r="B19" s="93">
        <v>0</v>
      </c>
      <c r="C19" s="10">
        <v>-0.82000000000000028</v>
      </c>
      <c r="D19" s="10">
        <v>0.8200000000000216</v>
      </c>
      <c r="E19" s="10">
        <v>2.1316282072803006E-14</v>
      </c>
      <c r="F19" s="94">
        <v>2.1316282072803006E-14</v>
      </c>
      <c r="G19" s="93"/>
      <c r="H19" s="10"/>
      <c r="I19" s="10"/>
      <c r="J19" s="10"/>
      <c r="K19" s="10"/>
      <c r="L19" s="94"/>
      <c r="M19" s="93"/>
      <c r="N19" s="10"/>
      <c r="O19" s="10"/>
      <c r="P19" s="10"/>
      <c r="Q19" s="10" t="e">
        <v>#REF!</v>
      </c>
      <c r="R19" s="94" t="e">
        <v>#REF!</v>
      </c>
      <c r="S19" s="10"/>
      <c r="T19" s="93"/>
      <c r="U19" s="10"/>
      <c r="V19" s="10"/>
      <c r="W19" s="10">
        <v>0</v>
      </c>
      <c r="X19" s="94">
        <v>0</v>
      </c>
      <c r="Y19" s="93"/>
      <c r="Z19" s="10"/>
      <c r="AA19" s="10">
        <f>173-228.49</f>
        <v>-55.490000000000009</v>
      </c>
      <c r="AB19" s="10">
        <f t="shared" si="17"/>
        <v>-55.490000000000009</v>
      </c>
      <c r="AC19" s="10"/>
      <c r="AD19" s="94">
        <f t="shared" si="18"/>
        <v>-55.490000000000009</v>
      </c>
      <c r="AE19" s="93">
        <f t="shared" si="0"/>
        <v>0</v>
      </c>
      <c r="AF19" s="10">
        <f t="shared" si="1"/>
        <v>0</v>
      </c>
      <c r="AG19" s="10">
        <f t="shared" si="2"/>
        <v>-55.490000000000009</v>
      </c>
      <c r="AH19" s="10">
        <f t="shared" si="19"/>
        <v>-55.490000000000009</v>
      </c>
      <c r="AI19" s="10" t="e">
        <f>AC19-#REF!</f>
        <v>#REF!</v>
      </c>
      <c r="AJ19" s="94" t="e">
        <f t="shared" si="20"/>
        <v>#REF!</v>
      </c>
      <c r="AK19" s="10"/>
      <c r="AL19" s="93">
        <f t="shared" si="3"/>
        <v>0</v>
      </c>
      <c r="AM19" s="10">
        <f t="shared" si="4"/>
        <v>-0.82000000000000028</v>
      </c>
      <c r="AN19" s="10">
        <f t="shared" si="5"/>
        <v>0.8200000000000216</v>
      </c>
      <c r="AO19" s="10">
        <f t="shared" si="6"/>
        <v>2.1316282072803006E-14</v>
      </c>
      <c r="AP19" s="94">
        <f t="shared" si="7"/>
        <v>2.1316282072803006E-14</v>
      </c>
      <c r="AQ19" s="93">
        <f t="shared" si="8"/>
        <v>0</v>
      </c>
      <c r="AR19" s="10">
        <f t="shared" si="9"/>
        <v>0</v>
      </c>
      <c r="AS19" s="10">
        <f t="shared" si="10"/>
        <v>-55.490000000000009</v>
      </c>
      <c r="AT19" s="10">
        <f t="shared" si="21"/>
        <v>-55.490000000000009</v>
      </c>
      <c r="AU19" s="10">
        <f t="shared" si="11"/>
        <v>0</v>
      </c>
      <c r="AV19" s="94">
        <f t="shared" si="22"/>
        <v>-55.490000000000009</v>
      </c>
      <c r="AW19" s="93">
        <f t="shared" si="12"/>
        <v>0</v>
      </c>
      <c r="AX19" s="10">
        <f t="shared" si="13"/>
        <v>0.82000000000000028</v>
      </c>
      <c r="AY19" s="10">
        <f t="shared" si="14"/>
        <v>-56.310000000000031</v>
      </c>
      <c r="AZ19" s="10">
        <f t="shared" si="15"/>
        <v>-55.49000000000003</v>
      </c>
      <c r="BA19" s="10" t="e">
        <f t="shared" si="16"/>
        <v>#REF!</v>
      </c>
      <c r="BB19" s="94" t="e">
        <f t="shared" si="23"/>
        <v>#REF!</v>
      </c>
      <c r="BD19" t="s">
        <v>243</v>
      </c>
    </row>
    <row r="20" spans="1:56">
      <c r="A20" t="s">
        <v>244</v>
      </c>
      <c r="B20" s="93">
        <v>0</v>
      </c>
      <c r="C20" s="10">
        <v>0.26000000000004775</v>
      </c>
      <c r="D20" s="10">
        <v>-0.26</v>
      </c>
      <c r="E20" s="10">
        <v>4.7739590058881731E-14</v>
      </c>
      <c r="F20" s="94">
        <v>4.7739590058881731E-14</v>
      </c>
      <c r="G20" s="93"/>
      <c r="H20" s="10"/>
      <c r="I20" s="10"/>
      <c r="J20" s="10"/>
      <c r="K20" s="10"/>
      <c r="L20" s="94"/>
      <c r="M20" s="93"/>
      <c r="N20" s="10"/>
      <c r="O20" s="10"/>
      <c r="P20" s="10"/>
      <c r="Q20" s="10" t="e">
        <v>#REF!</v>
      </c>
      <c r="R20" s="94" t="e">
        <v>#REF!</v>
      </c>
      <c r="S20" s="10"/>
      <c r="T20" s="93"/>
      <c r="U20" s="10"/>
      <c r="V20" s="10"/>
      <c r="W20" s="10">
        <v>0</v>
      </c>
      <c r="X20" s="94">
        <v>0</v>
      </c>
      <c r="Y20" s="93"/>
      <c r="Z20" s="10"/>
      <c r="AA20" s="10"/>
      <c r="AB20" s="10">
        <f t="shared" si="17"/>
        <v>0</v>
      </c>
      <c r="AC20" s="10"/>
      <c r="AD20" s="94">
        <f t="shared" si="18"/>
        <v>0</v>
      </c>
      <c r="AE20" s="93">
        <f t="shared" si="0"/>
        <v>0</v>
      </c>
      <c r="AF20" s="10">
        <f t="shared" si="1"/>
        <v>0</v>
      </c>
      <c r="AG20" s="10">
        <f t="shared" si="2"/>
        <v>0</v>
      </c>
      <c r="AH20" s="10">
        <f t="shared" si="19"/>
        <v>0</v>
      </c>
      <c r="AI20" s="10" t="e">
        <f>AC20-#REF!</f>
        <v>#REF!</v>
      </c>
      <c r="AJ20" s="94" t="e">
        <f t="shared" si="20"/>
        <v>#REF!</v>
      </c>
      <c r="AK20" s="10"/>
      <c r="AL20" s="93">
        <f t="shared" si="3"/>
        <v>0</v>
      </c>
      <c r="AM20" s="10">
        <f t="shared" si="4"/>
        <v>0.26000000000004775</v>
      </c>
      <c r="AN20" s="10">
        <f t="shared" si="5"/>
        <v>-0.26</v>
      </c>
      <c r="AO20" s="10">
        <f t="shared" si="6"/>
        <v>4.7739590058881731E-14</v>
      </c>
      <c r="AP20" s="94">
        <f t="shared" si="7"/>
        <v>4.7739590058881731E-14</v>
      </c>
      <c r="AQ20" s="93">
        <f t="shared" si="8"/>
        <v>0</v>
      </c>
      <c r="AR20" s="10">
        <f t="shared" si="9"/>
        <v>0</v>
      </c>
      <c r="AS20" s="10">
        <f t="shared" si="10"/>
        <v>0</v>
      </c>
      <c r="AT20" s="10">
        <f t="shared" si="21"/>
        <v>0</v>
      </c>
      <c r="AU20" s="10">
        <f t="shared" si="11"/>
        <v>0</v>
      </c>
      <c r="AV20" s="94">
        <f t="shared" si="22"/>
        <v>0</v>
      </c>
      <c r="AW20" s="93">
        <f t="shared" si="12"/>
        <v>0</v>
      </c>
      <c r="AX20" s="10">
        <f t="shared" si="13"/>
        <v>-0.26000000000004775</v>
      </c>
      <c r="AY20" s="10">
        <f t="shared" si="14"/>
        <v>0.26</v>
      </c>
      <c r="AZ20" s="10">
        <f t="shared" si="15"/>
        <v>-4.7739590058881731E-14</v>
      </c>
      <c r="BA20" s="10" t="e">
        <f t="shared" si="16"/>
        <v>#REF!</v>
      </c>
      <c r="BB20" s="94" t="e">
        <f t="shared" si="23"/>
        <v>#REF!</v>
      </c>
      <c r="BD20" t="s">
        <v>245</v>
      </c>
    </row>
    <row r="21" spans="1:56">
      <c r="A21" t="s">
        <v>246</v>
      </c>
      <c r="B21" s="93">
        <v>0</v>
      </c>
      <c r="C21" s="10">
        <v>2277.04</v>
      </c>
      <c r="D21" s="10">
        <v>0</v>
      </c>
      <c r="E21" s="10">
        <v>2277.04</v>
      </c>
      <c r="F21" s="94">
        <v>2277.04</v>
      </c>
      <c r="G21" s="93"/>
      <c r="H21" s="10"/>
      <c r="I21" s="10"/>
      <c r="J21" s="10"/>
      <c r="K21" s="10"/>
      <c r="L21" s="94"/>
      <c r="M21" s="93"/>
      <c r="N21" s="10"/>
      <c r="O21" s="10"/>
      <c r="P21" s="10"/>
      <c r="Q21" s="10" t="e">
        <v>#REF!</v>
      </c>
      <c r="R21" s="94" t="e">
        <v>#REF!</v>
      </c>
      <c r="S21" s="10"/>
      <c r="T21" s="93"/>
      <c r="U21" s="10"/>
      <c r="V21" s="10"/>
      <c r="W21" s="10">
        <v>0</v>
      </c>
      <c r="X21" s="94">
        <v>0</v>
      </c>
      <c r="Y21" s="93"/>
      <c r="Z21" s="10"/>
      <c r="AA21" s="10"/>
      <c r="AB21" s="10">
        <f t="shared" si="17"/>
        <v>0</v>
      </c>
      <c r="AC21" s="10"/>
      <c r="AD21" s="94">
        <f t="shared" si="18"/>
        <v>0</v>
      </c>
      <c r="AE21" s="93">
        <f t="shared" si="0"/>
        <v>0</v>
      </c>
      <c r="AF21" s="10">
        <f t="shared" si="1"/>
        <v>0</v>
      </c>
      <c r="AG21" s="10">
        <f t="shared" si="2"/>
        <v>0</v>
      </c>
      <c r="AH21" s="10">
        <f t="shared" si="19"/>
        <v>0</v>
      </c>
      <c r="AI21" s="10" t="e">
        <f>AC21-#REF!</f>
        <v>#REF!</v>
      </c>
      <c r="AJ21" s="94" t="e">
        <f t="shared" si="20"/>
        <v>#REF!</v>
      </c>
      <c r="AK21" s="10"/>
      <c r="AL21" s="93">
        <f t="shared" si="3"/>
        <v>0</v>
      </c>
      <c r="AM21" s="10">
        <f t="shared" si="4"/>
        <v>2277.04</v>
      </c>
      <c r="AN21" s="10">
        <f t="shared" si="5"/>
        <v>0</v>
      </c>
      <c r="AO21" s="10">
        <f t="shared" si="6"/>
        <v>2277.04</v>
      </c>
      <c r="AP21" s="94">
        <f t="shared" si="7"/>
        <v>2277.04</v>
      </c>
      <c r="AQ21" s="93">
        <f t="shared" si="8"/>
        <v>0</v>
      </c>
      <c r="AR21" s="10">
        <f t="shared" si="9"/>
        <v>0</v>
      </c>
      <c r="AS21" s="10">
        <f t="shared" si="10"/>
        <v>0</v>
      </c>
      <c r="AT21" s="10">
        <f t="shared" si="21"/>
        <v>0</v>
      </c>
      <c r="AU21" s="10">
        <f t="shared" si="11"/>
        <v>0</v>
      </c>
      <c r="AV21" s="94">
        <f t="shared" si="22"/>
        <v>0</v>
      </c>
      <c r="AW21" s="93">
        <f t="shared" si="12"/>
        <v>0</v>
      </c>
      <c r="AX21" s="10">
        <f t="shared" si="13"/>
        <v>-2277.04</v>
      </c>
      <c r="AY21" s="10">
        <f t="shared" si="14"/>
        <v>0</v>
      </c>
      <c r="AZ21" s="10">
        <f t="shared" si="15"/>
        <v>-2277.04</v>
      </c>
      <c r="BA21" s="10" t="e">
        <f t="shared" si="16"/>
        <v>#REF!</v>
      </c>
      <c r="BB21" s="94" t="e">
        <f t="shared" si="23"/>
        <v>#REF!</v>
      </c>
      <c r="BD21" t="s">
        <v>247</v>
      </c>
    </row>
    <row r="22" spans="1:56">
      <c r="A22" t="s">
        <v>248</v>
      </c>
      <c r="B22" s="93">
        <v>0</v>
      </c>
      <c r="C22" s="10">
        <v>0</v>
      </c>
      <c r="D22" s="10">
        <v>93902.48</v>
      </c>
      <c r="E22" s="10">
        <v>93902.48</v>
      </c>
      <c r="F22" s="94">
        <v>93902.48</v>
      </c>
      <c r="G22" s="93"/>
      <c r="H22" s="10"/>
      <c r="I22" s="10"/>
      <c r="J22" s="10"/>
      <c r="K22" s="10"/>
      <c r="L22" s="94"/>
      <c r="M22" s="93"/>
      <c r="N22" s="10"/>
      <c r="O22" s="10"/>
      <c r="P22" s="10"/>
      <c r="Q22" s="10" t="e">
        <v>#REF!</v>
      </c>
      <c r="R22" s="94" t="e">
        <v>#REF!</v>
      </c>
      <c r="S22" s="10"/>
      <c r="T22" s="93"/>
      <c r="U22" s="10"/>
      <c r="V22" s="10">
        <v>-8588.67</v>
      </c>
      <c r="W22" s="10">
        <v>-8588.67</v>
      </c>
      <c r="X22" s="94">
        <v>-8588.67</v>
      </c>
      <c r="Y22" s="93"/>
      <c r="Z22" s="10"/>
      <c r="AA22" s="10">
        <f>114842.13-16475.69-226.2+144</f>
        <v>98284.24</v>
      </c>
      <c r="AB22" s="10">
        <f t="shared" si="17"/>
        <v>98284.24</v>
      </c>
      <c r="AC22" s="10"/>
      <c r="AD22" s="94">
        <f t="shared" si="18"/>
        <v>98284.24</v>
      </c>
      <c r="AE22" s="93">
        <f t="shared" si="0"/>
        <v>0</v>
      </c>
      <c r="AF22" s="10">
        <f t="shared" si="1"/>
        <v>0</v>
      </c>
      <c r="AG22" s="10">
        <f t="shared" si="2"/>
        <v>106872.91</v>
      </c>
      <c r="AH22" s="10">
        <f t="shared" si="19"/>
        <v>106872.91</v>
      </c>
      <c r="AI22" s="10" t="e">
        <f>AC22-#REF!</f>
        <v>#REF!</v>
      </c>
      <c r="AJ22" s="94" t="e">
        <f t="shared" si="20"/>
        <v>#REF!</v>
      </c>
      <c r="AK22" s="10"/>
      <c r="AL22" s="93">
        <f t="shared" si="3"/>
        <v>0</v>
      </c>
      <c r="AM22" s="10">
        <f t="shared" si="4"/>
        <v>0</v>
      </c>
      <c r="AN22" s="10">
        <f t="shared" si="5"/>
        <v>85313.81</v>
      </c>
      <c r="AO22" s="10">
        <f t="shared" si="6"/>
        <v>85313.81</v>
      </c>
      <c r="AP22" s="94">
        <f t="shared" si="7"/>
        <v>85313.81</v>
      </c>
      <c r="AQ22" s="93">
        <f t="shared" si="8"/>
        <v>0</v>
      </c>
      <c r="AR22" s="10">
        <f t="shared" si="9"/>
        <v>0</v>
      </c>
      <c r="AS22" s="10">
        <f t="shared" si="10"/>
        <v>98284.24</v>
      </c>
      <c r="AT22" s="10">
        <f t="shared" si="21"/>
        <v>98284.24</v>
      </c>
      <c r="AU22" s="10">
        <f t="shared" si="11"/>
        <v>0</v>
      </c>
      <c r="AV22" s="94">
        <f t="shared" si="22"/>
        <v>98284.24</v>
      </c>
      <c r="AW22" s="93">
        <f t="shared" si="12"/>
        <v>0</v>
      </c>
      <c r="AX22" s="10">
        <f t="shared" si="13"/>
        <v>0</v>
      </c>
      <c r="AY22" s="10">
        <f t="shared" si="14"/>
        <v>12970.430000000008</v>
      </c>
      <c r="AZ22" s="10">
        <f t="shared" si="15"/>
        <v>12970.430000000008</v>
      </c>
      <c r="BA22" s="10" t="e">
        <f t="shared" si="16"/>
        <v>#REF!</v>
      </c>
      <c r="BB22" s="94" t="e">
        <f t="shared" si="23"/>
        <v>#REF!</v>
      </c>
      <c r="BD22" t="s">
        <v>249</v>
      </c>
    </row>
    <row r="23" spans="1:56">
      <c r="A23" t="s">
        <v>250</v>
      </c>
      <c r="B23" s="93">
        <v>0</v>
      </c>
      <c r="C23" s="10">
        <v>0</v>
      </c>
      <c r="D23" s="10">
        <v>2365.66</v>
      </c>
      <c r="E23" s="10">
        <v>2365.66</v>
      </c>
      <c r="F23" s="94">
        <v>2365.66</v>
      </c>
      <c r="G23" s="93"/>
      <c r="H23" s="10"/>
      <c r="I23" s="10"/>
      <c r="J23" s="10"/>
      <c r="K23" s="10"/>
      <c r="L23" s="94"/>
      <c r="M23" s="93"/>
      <c r="N23" s="10"/>
      <c r="O23" s="10"/>
      <c r="P23" s="10"/>
      <c r="Q23" s="10" t="e">
        <v>#REF!</v>
      </c>
      <c r="R23" s="94" t="e">
        <v>#REF!</v>
      </c>
      <c r="S23" s="10"/>
      <c r="T23" s="93"/>
      <c r="U23" s="10"/>
      <c r="V23" s="10"/>
      <c r="W23" s="10">
        <v>0</v>
      </c>
      <c r="X23" s="94">
        <v>0</v>
      </c>
      <c r="Y23" s="93"/>
      <c r="Z23" s="10"/>
      <c r="AA23" s="10">
        <f>1102.5-1600</f>
        <v>-497.5</v>
      </c>
      <c r="AB23" s="10">
        <f t="shared" si="17"/>
        <v>-497.5</v>
      </c>
      <c r="AC23" s="10"/>
      <c r="AD23" s="94">
        <f t="shared" si="18"/>
        <v>-497.5</v>
      </c>
      <c r="AE23" s="93">
        <f t="shared" si="0"/>
        <v>0</v>
      </c>
      <c r="AF23" s="10">
        <f t="shared" si="1"/>
        <v>0</v>
      </c>
      <c r="AG23" s="10">
        <f t="shared" si="2"/>
        <v>-497.5</v>
      </c>
      <c r="AH23" s="10">
        <f t="shared" si="19"/>
        <v>-497.5</v>
      </c>
      <c r="AI23" s="10" t="e">
        <f>AC23-#REF!</f>
        <v>#REF!</v>
      </c>
      <c r="AJ23" s="94" t="e">
        <f t="shared" si="20"/>
        <v>#REF!</v>
      </c>
      <c r="AK23" s="10"/>
      <c r="AL23" s="93">
        <f t="shared" si="3"/>
        <v>0</v>
      </c>
      <c r="AM23" s="10">
        <f t="shared" si="4"/>
        <v>0</v>
      </c>
      <c r="AN23" s="10">
        <f t="shared" si="5"/>
        <v>2365.66</v>
      </c>
      <c r="AO23" s="10">
        <f>SUM(AL23:AN23)</f>
        <v>2365.66</v>
      </c>
      <c r="AP23" s="94">
        <f t="shared" si="7"/>
        <v>2365.66</v>
      </c>
      <c r="AQ23" s="93">
        <f t="shared" si="8"/>
        <v>0</v>
      </c>
      <c r="AR23" s="10">
        <f t="shared" si="9"/>
        <v>0</v>
      </c>
      <c r="AS23" s="10">
        <f t="shared" si="10"/>
        <v>-497.5</v>
      </c>
      <c r="AT23" s="10">
        <f t="shared" si="21"/>
        <v>-497.5</v>
      </c>
      <c r="AU23" s="10">
        <f t="shared" si="11"/>
        <v>0</v>
      </c>
      <c r="AV23" s="94">
        <f t="shared" si="22"/>
        <v>-497.5</v>
      </c>
      <c r="AW23" s="93">
        <f t="shared" si="12"/>
        <v>0</v>
      </c>
      <c r="AX23" s="10">
        <f t="shared" si="13"/>
        <v>0</v>
      </c>
      <c r="AY23" s="10">
        <f t="shared" si="14"/>
        <v>-2863.16</v>
      </c>
      <c r="AZ23" s="10">
        <f t="shared" si="15"/>
        <v>-2863.16</v>
      </c>
      <c r="BA23" s="10" t="e">
        <f t="shared" si="16"/>
        <v>#REF!</v>
      </c>
      <c r="BB23" s="94" t="e">
        <f t="shared" si="23"/>
        <v>#REF!</v>
      </c>
      <c r="BD23" t="s">
        <v>251</v>
      </c>
    </row>
    <row r="24" spans="1:56">
      <c r="A24" t="s">
        <v>252</v>
      </c>
      <c r="B24" s="93">
        <v>0</v>
      </c>
      <c r="C24" s="10">
        <v>20872.330000000002</v>
      </c>
      <c r="D24" s="10">
        <v>0</v>
      </c>
      <c r="E24" s="10">
        <v>20872.330000000002</v>
      </c>
      <c r="F24" s="94">
        <v>20872.330000000002</v>
      </c>
      <c r="G24" s="93"/>
      <c r="H24" s="10"/>
      <c r="I24" s="10"/>
      <c r="J24" s="10"/>
      <c r="K24" s="10"/>
      <c r="L24" s="94"/>
      <c r="M24" s="93"/>
      <c r="N24" s="10"/>
      <c r="O24" s="10"/>
      <c r="P24" s="10"/>
      <c r="Q24" s="10"/>
      <c r="R24" s="94"/>
      <c r="S24" s="10"/>
      <c r="T24" s="93"/>
      <c r="U24" s="10">
        <v>5034.46</v>
      </c>
      <c r="V24" s="10"/>
      <c r="W24" s="10">
        <v>5034.46</v>
      </c>
      <c r="X24" s="94">
        <v>5034.46</v>
      </c>
      <c r="Y24" s="93"/>
      <c r="Z24" s="10"/>
      <c r="AA24" s="10"/>
      <c r="AB24" s="10"/>
      <c r="AC24" s="10"/>
      <c r="AD24" s="94"/>
      <c r="AE24" s="93"/>
      <c r="AF24" s="10"/>
      <c r="AG24" s="10"/>
      <c r="AH24" s="10"/>
      <c r="AI24" s="10"/>
      <c r="AJ24" s="94"/>
      <c r="AK24" s="10"/>
      <c r="AL24" s="93">
        <f t="shared" si="3"/>
        <v>0</v>
      </c>
      <c r="AM24" s="10">
        <f t="shared" si="4"/>
        <v>25906.79</v>
      </c>
      <c r="AN24" s="10">
        <f t="shared" si="5"/>
        <v>0</v>
      </c>
      <c r="AO24" s="10">
        <f>SUM(AL24:AN24)</f>
        <v>25906.79</v>
      </c>
      <c r="AP24" s="94">
        <f t="shared" si="7"/>
        <v>25906.79</v>
      </c>
      <c r="AQ24" s="93"/>
      <c r="AR24" s="10"/>
      <c r="AS24" s="10"/>
      <c r="AT24" s="10"/>
      <c r="AU24" s="10"/>
      <c r="AV24" s="94"/>
      <c r="AW24" s="93"/>
      <c r="AX24" s="10"/>
      <c r="AY24" s="10"/>
      <c r="AZ24" s="10"/>
      <c r="BA24" s="10"/>
      <c r="BB24" s="94"/>
    </row>
    <row r="25" spans="1:56">
      <c r="A25" t="s">
        <v>253</v>
      </c>
      <c r="B25" s="93">
        <v>0</v>
      </c>
      <c r="C25" s="10">
        <v>0</v>
      </c>
      <c r="D25" s="10">
        <v>56537.500000000015</v>
      </c>
      <c r="E25" s="10">
        <v>56537.500000000015</v>
      </c>
      <c r="F25" s="94">
        <v>56537.500000000015</v>
      </c>
      <c r="G25" s="93"/>
      <c r="H25" s="10"/>
      <c r="I25" s="10"/>
      <c r="J25" s="10"/>
      <c r="K25" s="10"/>
      <c r="L25" s="94"/>
      <c r="M25" s="93"/>
      <c r="N25" s="10"/>
      <c r="O25" s="10"/>
      <c r="P25" s="10"/>
      <c r="Q25" s="10" t="e">
        <v>#REF!</v>
      </c>
      <c r="R25" s="94" t="e">
        <v>#REF!</v>
      </c>
      <c r="S25" s="10"/>
      <c r="T25" s="93"/>
      <c r="U25" s="10"/>
      <c r="V25" s="10">
        <v>-6815.9</v>
      </c>
      <c r="W25" s="10">
        <v>-6815.9</v>
      </c>
      <c r="X25" s="94">
        <v>-6815.9</v>
      </c>
      <c r="Y25" s="93"/>
      <c r="Z25" s="10"/>
      <c r="AA25" s="10">
        <f>134346.32-133890.13+226.2-144</f>
        <v>538.39000000000237</v>
      </c>
      <c r="AB25" s="10">
        <f>SUM(Y25:AA25)</f>
        <v>538.39000000000237</v>
      </c>
      <c r="AC25" s="10"/>
      <c r="AD25" s="94">
        <f t="shared" si="18"/>
        <v>538.39000000000237</v>
      </c>
      <c r="AE25" s="93">
        <f>Y25-T25</f>
        <v>0</v>
      </c>
      <c r="AF25" s="10">
        <f>Z25-U25</f>
        <v>0</v>
      </c>
      <c r="AG25" s="10">
        <f>AA25-V25</f>
        <v>7354.2900000000018</v>
      </c>
      <c r="AH25" s="10">
        <f t="shared" si="19"/>
        <v>7354.2900000000018</v>
      </c>
      <c r="AI25" s="10" t="e">
        <f>AC25-#REF!</f>
        <v>#REF!</v>
      </c>
      <c r="AJ25" s="94" t="e">
        <f>SUM(AH25:AI25)</f>
        <v>#REF!</v>
      </c>
      <c r="AK25" s="10"/>
      <c r="AL25" s="93">
        <f t="shared" si="3"/>
        <v>0</v>
      </c>
      <c r="AM25" s="10">
        <f t="shared" si="4"/>
        <v>0</v>
      </c>
      <c r="AN25" s="10">
        <f>D25+V25</f>
        <v>49721.600000000013</v>
      </c>
      <c r="AO25" s="10">
        <f>SUM(AL25:AN25)</f>
        <v>49721.600000000013</v>
      </c>
      <c r="AP25" s="94">
        <f t="shared" si="7"/>
        <v>49721.600000000013</v>
      </c>
      <c r="AQ25" s="93">
        <f>G25+Y25</f>
        <v>0</v>
      </c>
      <c r="AR25" s="10">
        <f>H25+Z25</f>
        <v>0</v>
      </c>
      <c r="AS25" s="10">
        <f>I25+AA25</f>
        <v>538.39000000000237</v>
      </c>
      <c r="AT25" s="10">
        <f>SUM(AQ25:AS25)</f>
        <v>538.39000000000237</v>
      </c>
      <c r="AU25" s="10">
        <f>K25+AC25</f>
        <v>0</v>
      </c>
      <c r="AV25" s="94">
        <f>SUM(AT25:AU25)</f>
        <v>538.39000000000237</v>
      </c>
      <c r="AW25" s="93">
        <f>AQ25-AL25</f>
        <v>0</v>
      </c>
      <c r="AX25" s="10">
        <f>AR25-AM25</f>
        <v>0</v>
      </c>
      <c r="AY25" s="10">
        <f>AS25-AN25</f>
        <v>-49183.210000000014</v>
      </c>
      <c r="AZ25" s="10">
        <f>AT25-AO25</f>
        <v>-49183.210000000014</v>
      </c>
      <c r="BA25" s="10" t="e">
        <f>Q25+AI25</f>
        <v>#REF!</v>
      </c>
      <c r="BB25" s="94" t="e">
        <f>SUM(AZ25:BA25)</f>
        <v>#REF!</v>
      </c>
      <c r="BD25" t="s">
        <v>254</v>
      </c>
    </row>
    <row r="26" spans="1:56">
      <c r="B26" s="93"/>
      <c r="C26" s="10"/>
      <c r="D26" s="10"/>
      <c r="E26" s="10"/>
      <c r="F26" s="94"/>
      <c r="G26" s="93"/>
      <c r="H26" s="10"/>
      <c r="I26" s="10"/>
      <c r="J26" s="10"/>
      <c r="K26" s="10"/>
      <c r="L26" s="94"/>
      <c r="M26" s="93"/>
      <c r="N26" s="10"/>
      <c r="O26" s="10"/>
      <c r="P26" s="10"/>
      <c r="Q26" s="10"/>
      <c r="R26" s="94"/>
      <c r="S26" s="10"/>
      <c r="T26" s="93"/>
      <c r="U26" s="10"/>
      <c r="V26" s="10"/>
      <c r="W26" s="10"/>
      <c r="X26" s="94"/>
      <c r="Y26" s="93"/>
      <c r="Z26" s="10"/>
      <c r="AA26" s="10"/>
      <c r="AB26" s="10"/>
      <c r="AC26" s="10"/>
      <c r="AD26" s="94"/>
      <c r="AE26" s="93"/>
      <c r="AF26" s="10"/>
      <c r="AG26" s="10"/>
      <c r="AH26" s="10"/>
      <c r="AI26" s="10"/>
      <c r="AJ26" s="94"/>
      <c r="AK26" s="10"/>
      <c r="AL26" s="93"/>
      <c r="AM26" s="10"/>
      <c r="AN26" s="10"/>
      <c r="AO26" s="10"/>
      <c r="AP26" s="94"/>
      <c r="AQ26" s="93"/>
      <c r="AR26" s="10"/>
      <c r="AS26" s="10"/>
      <c r="AT26" s="10"/>
      <c r="AU26" s="10"/>
      <c r="AV26" s="94"/>
      <c r="AW26" s="93"/>
      <c r="AX26" s="10"/>
      <c r="AY26" s="10"/>
      <c r="AZ26" s="10"/>
      <c r="BA26" s="10"/>
      <c r="BB26" s="94"/>
    </row>
    <row r="27" spans="1:56">
      <c r="A27" s="166" t="s">
        <v>255</v>
      </c>
      <c r="B27" s="93"/>
      <c r="C27" s="10"/>
      <c r="D27" s="10"/>
      <c r="E27" s="10"/>
      <c r="F27" s="94"/>
      <c r="G27" s="93"/>
      <c r="H27" s="10"/>
      <c r="I27" s="10"/>
      <c r="J27" s="10"/>
      <c r="K27" s="10"/>
      <c r="L27" s="94"/>
      <c r="M27" s="93"/>
      <c r="N27" s="10"/>
      <c r="O27" s="10"/>
      <c r="P27" s="10"/>
      <c r="Q27" s="10"/>
      <c r="R27" s="94"/>
      <c r="S27" s="10"/>
      <c r="T27" s="93"/>
      <c r="U27" s="10"/>
      <c r="V27" s="10"/>
      <c r="W27" s="10"/>
      <c r="X27" s="94"/>
      <c r="Y27" s="93"/>
      <c r="Z27" s="10"/>
      <c r="AA27" s="10"/>
      <c r="AB27" s="10"/>
      <c r="AC27" s="10"/>
      <c r="AD27" s="94"/>
      <c r="AE27" s="93"/>
      <c r="AF27" s="10"/>
      <c r="AG27" s="10"/>
      <c r="AH27" s="10"/>
      <c r="AI27" s="10"/>
      <c r="AJ27" s="94"/>
      <c r="AK27" s="10"/>
      <c r="AL27" s="93"/>
      <c r="AM27" s="10"/>
      <c r="AN27" s="10"/>
      <c r="AO27" s="10"/>
      <c r="AP27" s="94"/>
      <c r="AQ27" s="93"/>
      <c r="AR27" s="10"/>
      <c r="AS27" s="10"/>
      <c r="AT27" s="10"/>
      <c r="AU27" s="10"/>
      <c r="AV27" s="94"/>
      <c r="AW27" s="93"/>
      <c r="AX27" s="10"/>
      <c r="AY27" s="10"/>
      <c r="AZ27" s="10"/>
      <c r="BA27" s="10"/>
      <c r="BB27" s="94"/>
    </row>
    <row r="28" spans="1:56">
      <c r="A28" t="s">
        <v>256</v>
      </c>
      <c r="B28" s="93">
        <v>0</v>
      </c>
      <c r="C28" s="10">
        <v>0</v>
      </c>
      <c r="D28" s="10">
        <v>1182.21</v>
      </c>
      <c r="E28" s="10">
        <v>1182.21</v>
      </c>
      <c r="F28" s="94">
        <v>1182.21</v>
      </c>
      <c r="G28" s="93"/>
      <c r="H28" s="10"/>
      <c r="I28" s="10"/>
      <c r="J28" s="10"/>
      <c r="K28" s="10"/>
      <c r="L28" s="94"/>
      <c r="M28" s="93"/>
      <c r="N28" s="10"/>
      <c r="O28" s="10"/>
      <c r="P28" s="10"/>
      <c r="Q28" s="10" t="e">
        <v>#REF!</v>
      </c>
      <c r="R28" s="94" t="e">
        <v>#REF!</v>
      </c>
      <c r="S28" s="10"/>
      <c r="T28" s="93"/>
      <c r="U28" s="10"/>
      <c r="V28" s="10"/>
      <c r="W28" s="10">
        <v>0</v>
      </c>
      <c r="X28" s="94">
        <v>0</v>
      </c>
      <c r="Y28" s="93"/>
      <c r="Z28" s="10"/>
      <c r="AA28" s="10">
        <f>7116.46-7086.19</f>
        <v>30.270000000000437</v>
      </c>
      <c r="AB28" s="10">
        <f>SUM(Y28:AA28)</f>
        <v>30.270000000000437</v>
      </c>
      <c r="AC28" s="10"/>
      <c r="AD28" s="94">
        <f>SUM(AB28:AC28)</f>
        <v>30.270000000000437</v>
      </c>
      <c r="AE28" s="93">
        <f t="shared" ref="AE28:AG32" si="24">Y28-T28</f>
        <v>0</v>
      </c>
      <c r="AF28" s="10">
        <f t="shared" si="24"/>
        <v>0</v>
      </c>
      <c r="AG28" s="10">
        <f t="shared" si="24"/>
        <v>30.270000000000437</v>
      </c>
      <c r="AH28" s="10">
        <f>SUM(AE28:AG28)</f>
        <v>30.270000000000437</v>
      </c>
      <c r="AI28" s="10" t="e">
        <f>AC28-#REF!</f>
        <v>#REF!</v>
      </c>
      <c r="AJ28" s="94" t="e">
        <f>SUM(AH28:AI28)</f>
        <v>#REF!</v>
      </c>
      <c r="AK28" s="10"/>
      <c r="AL28" s="93">
        <f t="shared" ref="AL28:AN32" si="25">B28+T28</f>
        <v>0</v>
      </c>
      <c r="AM28" s="10">
        <f t="shared" si="25"/>
        <v>0</v>
      </c>
      <c r="AN28" s="10">
        <f t="shared" si="25"/>
        <v>1182.21</v>
      </c>
      <c r="AO28" s="10">
        <f t="shared" si="6"/>
        <v>1182.21</v>
      </c>
      <c r="AP28" s="94">
        <f>SUM(AO28:AO28)</f>
        <v>1182.21</v>
      </c>
      <c r="AQ28" s="93">
        <f t="shared" ref="AQ28:AS32" si="26">G28+Y28</f>
        <v>0</v>
      </c>
      <c r="AR28" s="10">
        <f t="shared" si="26"/>
        <v>0</v>
      </c>
      <c r="AS28" s="10">
        <f t="shared" si="26"/>
        <v>30.270000000000437</v>
      </c>
      <c r="AT28" s="10">
        <f>SUM(AQ28:AS28)</f>
        <v>30.270000000000437</v>
      </c>
      <c r="AU28" s="10">
        <f>K28+AC28</f>
        <v>0</v>
      </c>
      <c r="AV28" s="94">
        <f>SUM(AT28:AU28)</f>
        <v>30.270000000000437</v>
      </c>
      <c r="AW28" s="93">
        <f t="shared" ref="AW28:AZ32" si="27">AQ28-AL28</f>
        <v>0</v>
      </c>
      <c r="AX28" s="10">
        <f t="shared" si="27"/>
        <v>0</v>
      </c>
      <c r="AY28" s="10">
        <f t="shared" si="27"/>
        <v>-1151.9399999999996</v>
      </c>
      <c r="AZ28" s="10">
        <f t="shared" si="27"/>
        <v>-1151.9399999999996</v>
      </c>
      <c r="BA28" s="10" t="e">
        <f>Q28+AI28</f>
        <v>#REF!</v>
      </c>
      <c r="BB28" s="94" t="e">
        <f>SUM(AZ28:BA28)</f>
        <v>#REF!</v>
      </c>
    </row>
    <row r="29" spans="1:56">
      <c r="A29" t="s">
        <v>257</v>
      </c>
      <c r="B29" s="93">
        <v>0</v>
      </c>
      <c r="C29" s="10">
        <v>0</v>
      </c>
      <c r="D29" s="10">
        <v>699.71</v>
      </c>
      <c r="E29" s="10">
        <v>699.71</v>
      </c>
      <c r="F29" s="94">
        <v>699.71</v>
      </c>
      <c r="G29" s="93"/>
      <c r="H29" s="10"/>
      <c r="I29" s="10"/>
      <c r="J29" s="10"/>
      <c r="K29" s="10"/>
      <c r="L29" s="94"/>
      <c r="M29" s="93"/>
      <c r="N29" s="10"/>
      <c r="O29" s="10"/>
      <c r="P29" s="10"/>
      <c r="Q29" s="10" t="e">
        <v>#REF!</v>
      </c>
      <c r="R29" s="94" t="e">
        <v>#REF!</v>
      </c>
      <c r="S29" s="10"/>
      <c r="T29" s="93"/>
      <c r="U29" s="10"/>
      <c r="V29" s="10"/>
      <c r="W29" s="10">
        <v>0</v>
      </c>
      <c r="X29" s="94">
        <v>0</v>
      </c>
      <c r="Y29" s="93"/>
      <c r="Z29" s="10"/>
      <c r="AA29" s="10">
        <f>2845.53-2421.24</f>
        <v>424.29000000000042</v>
      </c>
      <c r="AB29" s="10">
        <f>SUM(Y29:AA29)</f>
        <v>424.29000000000042</v>
      </c>
      <c r="AC29" s="10"/>
      <c r="AD29" s="94">
        <f>SUM(AB29:AC29)</f>
        <v>424.29000000000042</v>
      </c>
      <c r="AE29" s="93">
        <f t="shared" si="24"/>
        <v>0</v>
      </c>
      <c r="AF29" s="10">
        <f t="shared" si="24"/>
        <v>0</v>
      </c>
      <c r="AG29" s="10">
        <f t="shared" si="24"/>
        <v>424.29000000000042</v>
      </c>
      <c r="AH29" s="10">
        <f>SUM(AE29:AG29)</f>
        <v>424.29000000000042</v>
      </c>
      <c r="AI29" s="10" t="e">
        <f>AC29-#REF!</f>
        <v>#REF!</v>
      </c>
      <c r="AJ29" s="94" t="e">
        <f>SUM(AH29:AI29)</f>
        <v>#REF!</v>
      </c>
      <c r="AK29" s="10"/>
      <c r="AL29" s="93">
        <f t="shared" si="25"/>
        <v>0</v>
      </c>
      <c r="AM29" s="10">
        <f t="shared" si="25"/>
        <v>0</v>
      </c>
      <c r="AN29" s="10">
        <f t="shared" si="25"/>
        <v>699.71</v>
      </c>
      <c r="AO29" s="10">
        <f t="shared" si="6"/>
        <v>699.71</v>
      </c>
      <c r="AP29" s="94">
        <f>SUM(AO29:AO29)</f>
        <v>699.71</v>
      </c>
      <c r="AQ29" s="93">
        <f t="shared" si="26"/>
        <v>0</v>
      </c>
      <c r="AR29" s="10">
        <f t="shared" si="26"/>
        <v>0</v>
      </c>
      <c r="AS29" s="10">
        <f t="shared" si="26"/>
        <v>424.29000000000042</v>
      </c>
      <c r="AT29" s="10">
        <f>SUM(AQ29:AS29)</f>
        <v>424.29000000000042</v>
      </c>
      <c r="AU29" s="10">
        <f>K29+AC29</f>
        <v>0</v>
      </c>
      <c r="AV29" s="94">
        <f>SUM(AT29:AU29)</f>
        <v>424.29000000000042</v>
      </c>
      <c r="AW29" s="93">
        <f t="shared" si="27"/>
        <v>0</v>
      </c>
      <c r="AX29" s="10">
        <f t="shared" si="27"/>
        <v>0</v>
      </c>
      <c r="AY29" s="10">
        <f t="shared" si="27"/>
        <v>-275.41999999999962</v>
      </c>
      <c r="AZ29" s="10">
        <f t="shared" si="27"/>
        <v>-275.41999999999962</v>
      </c>
      <c r="BA29" s="10" t="e">
        <f>Q29+AI29</f>
        <v>#REF!</v>
      </c>
      <c r="BB29" s="94" t="e">
        <f>SUM(AZ29:BA29)</f>
        <v>#REF!</v>
      </c>
    </row>
    <row r="30" spans="1:56">
      <c r="A30" t="s">
        <v>258</v>
      </c>
      <c r="B30" s="93">
        <v>0</v>
      </c>
      <c r="C30" s="10">
        <v>0</v>
      </c>
      <c r="D30" s="10">
        <v>177.22</v>
      </c>
      <c r="E30" s="10">
        <v>177.22</v>
      </c>
      <c r="F30" s="94">
        <v>177.22</v>
      </c>
      <c r="G30" s="93"/>
      <c r="H30" s="10"/>
      <c r="I30" s="10"/>
      <c r="J30" s="10"/>
      <c r="K30" s="10"/>
      <c r="L30" s="94"/>
      <c r="M30" s="93"/>
      <c r="N30" s="10"/>
      <c r="O30" s="10"/>
      <c r="P30" s="10"/>
      <c r="Q30" s="10" t="e">
        <v>#REF!</v>
      </c>
      <c r="R30" s="94" t="e">
        <v>#REF!</v>
      </c>
      <c r="S30" s="10"/>
      <c r="T30" s="93"/>
      <c r="U30" s="10"/>
      <c r="V30" s="10"/>
      <c r="W30" s="10">
        <v>0</v>
      </c>
      <c r="X30" s="94">
        <v>0</v>
      </c>
      <c r="Y30" s="93"/>
      <c r="Z30" s="10"/>
      <c r="AA30" s="10"/>
      <c r="AB30" s="10">
        <f>SUM(Y30:AA30)</f>
        <v>0</v>
      </c>
      <c r="AC30" s="10"/>
      <c r="AD30" s="94">
        <f>SUM(AB30:AC30)</f>
        <v>0</v>
      </c>
      <c r="AE30" s="93">
        <f t="shared" si="24"/>
        <v>0</v>
      </c>
      <c r="AF30" s="10">
        <f t="shared" si="24"/>
        <v>0</v>
      </c>
      <c r="AG30" s="10">
        <f t="shared" si="24"/>
        <v>0</v>
      </c>
      <c r="AH30" s="10">
        <f>SUM(AE30:AG30)</f>
        <v>0</v>
      </c>
      <c r="AI30" s="10" t="e">
        <f>AC30-#REF!</f>
        <v>#REF!</v>
      </c>
      <c r="AJ30" s="94" t="e">
        <f>SUM(AH30:AI30)</f>
        <v>#REF!</v>
      </c>
      <c r="AK30" s="10"/>
      <c r="AL30" s="93">
        <f t="shared" si="25"/>
        <v>0</v>
      </c>
      <c r="AM30" s="10">
        <f t="shared" si="25"/>
        <v>0</v>
      </c>
      <c r="AN30" s="10">
        <f t="shared" si="25"/>
        <v>177.22</v>
      </c>
      <c r="AO30" s="10">
        <f t="shared" si="6"/>
        <v>177.22</v>
      </c>
      <c r="AP30" s="94">
        <f>SUM(AO30:AO30)</f>
        <v>177.22</v>
      </c>
      <c r="AQ30" s="93">
        <f t="shared" si="26"/>
        <v>0</v>
      </c>
      <c r="AR30" s="10">
        <f t="shared" si="26"/>
        <v>0</v>
      </c>
      <c r="AS30" s="10">
        <f t="shared" si="26"/>
        <v>0</v>
      </c>
      <c r="AT30" s="10">
        <f>SUM(AQ30:AS30)</f>
        <v>0</v>
      </c>
      <c r="AU30" s="10">
        <f>K30+AC30</f>
        <v>0</v>
      </c>
      <c r="AV30" s="94">
        <f>SUM(AT30:AU30)</f>
        <v>0</v>
      </c>
      <c r="AW30" s="93">
        <f t="shared" si="27"/>
        <v>0</v>
      </c>
      <c r="AX30" s="10">
        <f t="shared" si="27"/>
        <v>0</v>
      </c>
      <c r="AY30" s="10">
        <f t="shared" si="27"/>
        <v>-177.22</v>
      </c>
      <c r="AZ30" s="10">
        <f t="shared" si="27"/>
        <v>-177.22</v>
      </c>
      <c r="BA30" s="10" t="e">
        <f>Q30+AI30</f>
        <v>#REF!</v>
      </c>
      <c r="BB30" s="94" t="e">
        <f>SUM(AZ30:BA30)</f>
        <v>#REF!</v>
      </c>
    </row>
    <row r="31" spans="1:56">
      <c r="A31" t="s">
        <v>259</v>
      </c>
      <c r="B31" s="93">
        <v>0</v>
      </c>
      <c r="C31" s="10">
        <v>0</v>
      </c>
      <c r="D31" s="10">
        <v>0</v>
      </c>
      <c r="E31" s="10">
        <v>0</v>
      </c>
      <c r="F31" s="94">
        <v>0</v>
      </c>
      <c r="G31" s="93"/>
      <c r="H31" s="10"/>
      <c r="I31" s="10"/>
      <c r="J31" s="10"/>
      <c r="K31" s="10"/>
      <c r="L31" s="94"/>
      <c r="M31" s="93"/>
      <c r="N31" s="10"/>
      <c r="O31" s="10"/>
      <c r="P31" s="10"/>
      <c r="Q31" s="10" t="e">
        <v>#REF!</v>
      </c>
      <c r="R31" s="94" t="e">
        <v>#REF!</v>
      </c>
      <c r="S31" s="10"/>
      <c r="T31" s="93"/>
      <c r="U31" s="10"/>
      <c r="V31" s="10"/>
      <c r="W31" s="10">
        <v>0</v>
      </c>
      <c r="X31" s="94">
        <v>0</v>
      </c>
      <c r="Y31" s="93"/>
      <c r="Z31" s="10"/>
      <c r="AA31" s="10"/>
      <c r="AB31" s="10">
        <f>SUM(Y31:AA31)</f>
        <v>0</v>
      </c>
      <c r="AC31" s="10"/>
      <c r="AD31" s="94">
        <f>SUM(AB31:AC31)</f>
        <v>0</v>
      </c>
      <c r="AE31" s="93">
        <f t="shared" si="24"/>
        <v>0</v>
      </c>
      <c r="AF31" s="10">
        <f t="shared" si="24"/>
        <v>0</v>
      </c>
      <c r="AG31" s="10">
        <f t="shared" si="24"/>
        <v>0</v>
      </c>
      <c r="AH31" s="10">
        <f>SUM(AE31:AG31)</f>
        <v>0</v>
      </c>
      <c r="AI31" s="10" t="e">
        <f>AC31-#REF!</f>
        <v>#REF!</v>
      </c>
      <c r="AJ31" s="94" t="e">
        <f>SUM(AH31:AI31)</f>
        <v>#REF!</v>
      </c>
      <c r="AK31" s="10"/>
      <c r="AL31" s="93">
        <f t="shared" si="25"/>
        <v>0</v>
      </c>
      <c r="AM31" s="10">
        <f t="shared" si="25"/>
        <v>0</v>
      </c>
      <c r="AN31" s="10">
        <f t="shared" si="25"/>
        <v>0</v>
      </c>
      <c r="AO31" s="10">
        <f t="shared" si="6"/>
        <v>0</v>
      </c>
      <c r="AP31" s="94">
        <f>SUM(AO31:AO31)</f>
        <v>0</v>
      </c>
      <c r="AQ31" s="93">
        <f t="shared" si="26"/>
        <v>0</v>
      </c>
      <c r="AR31" s="10">
        <f t="shared" si="26"/>
        <v>0</v>
      </c>
      <c r="AS31" s="10">
        <f t="shared" si="26"/>
        <v>0</v>
      </c>
      <c r="AT31" s="10">
        <f>SUM(AQ31:AS31)</f>
        <v>0</v>
      </c>
      <c r="AU31" s="10">
        <f>K31+AC31</f>
        <v>0</v>
      </c>
      <c r="AV31" s="94">
        <f>SUM(AT31:AU31)</f>
        <v>0</v>
      </c>
      <c r="AW31" s="93">
        <f t="shared" si="27"/>
        <v>0</v>
      </c>
      <c r="AX31" s="10">
        <f t="shared" si="27"/>
        <v>0</v>
      </c>
      <c r="AY31" s="10">
        <f t="shared" si="27"/>
        <v>0</v>
      </c>
      <c r="AZ31" s="10">
        <f t="shared" si="27"/>
        <v>0</v>
      </c>
      <c r="BA31" s="10" t="e">
        <f>Q31+AI31</f>
        <v>#REF!</v>
      </c>
      <c r="BB31" s="94" t="e">
        <f>SUM(AZ31:BA31)</f>
        <v>#REF!</v>
      </c>
    </row>
    <row r="32" spans="1:56">
      <c r="A32" t="s">
        <v>260</v>
      </c>
      <c r="B32" s="93">
        <v>0</v>
      </c>
      <c r="C32" s="10">
        <v>0</v>
      </c>
      <c r="D32" s="10">
        <v>0</v>
      </c>
      <c r="E32" s="10">
        <v>0</v>
      </c>
      <c r="F32" s="94">
        <v>0</v>
      </c>
      <c r="G32" s="93"/>
      <c r="H32" s="10"/>
      <c r="I32" s="10"/>
      <c r="J32" s="10"/>
      <c r="K32" s="10"/>
      <c r="L32" s="94"/>
      <c r="M32" s="93"/>
      <c r="N32" s="10"/>
      <c r="O32" s="10"/>
      <c r="P32" s="10"/>
      <c r="Q32" s="10" t="e">
        <v>#REF!</v>
      </c>
      <c r="R32" s="94" t="e">
        <v>#REF!</v>
      </c>
      <c r="S32" s="10"/>
      <c r="T32" s="93"/>
      <c r="U32" s="10"/>
      <c r="V32" s="10"/>
      <c r="W32" s="10">
        <v>0</v>
      </c>
      <c r="X32" s="94">
        <v>0</v>
      </c>
      <c r="Y32" s="93"/>
      <c r="Z32" s="10"/>
      <c r="AA32" s="10"/>
      <c r="AB32" s="10">
        <f>SUM(Y32:AA32)</f>
        <v>0</v>
      </c>
      <c r="AC32" s="10"/>
      <c r="AD32" s="94">
        <f>SUM(AB32:AC32)</f>
        <v>0</v>
      </c>
      <c r="AE32" s="93">
        <f t="shared" si="24"/>
        <v>0</v>
      </c>
      <c r="AF32" s="10">
        <f t="shared" si="24"/>
        <v>0</v>
      </c>
      <c r="AG32" s="10">
        <f t="shared" si="24"/>
        <v>0</v>
      </c>
      <c r="AH32" s="10">
        <f>SUM(AE32:AG32)</f>
        <v>0</v>
      </c>
      <c r="AI32" s="10" t="e">
        <f>AC32-#REF!</f>
        <v>#REF!</v>
      </c>
      <c r="AJ32" s="94" t="e">
        <f>SUM(AH32:AI32)</f>
        <v>#REF!</v>
      </c>
      <c r="AK32" s="10"/>
      <c r="AL32" s="93">
        <f t="shared" si="25"/>
        <v>0</v>
      </c>
      <c r="AM32" s="10">
        <f t="shared" si="25"/>
        <v>0</v>
      </c>
      <c r="AN32" s="10">
        <f t="shared" si="25"/>
        <v>0</v>
      </c>
      <c r="AO32" s="10">
        <f t="shared" si="6"/>
        <v>0</v>
      </c>
      <c r="AP32" s="94">
        <f>SUM(AO32:AO32)</f>
        <v>0</v>
      </c>
      <c r="AQ32" s="93">
        <f t="shared" si="26"/>
        <v>0</v>
      </c>
      <c r="AR32" s="10">
        <f t="shared" si="26"/>
        <v>0</v>
      </c>
      <c r="AS32" s="10">
        <f t="shared" si="26"/>
        <v>0</v>
      </c>
      <c r="AT32" s="10">
        <f>SUM(AQ32:AS32)</f>
        <v>0</v>
      </c>
      <c r="AU32" s="10">
        <f>K32+AC32</f>
        <v>0</v>
      </c>
      <c r="AV32" s="94">
        <f>SUM(AT32:AU32)</f>
        <v>0</v>
      </c>
      <c r="AW32" s="93">
        <f t="shared" si="27"/>
        <v>0</v>
      </c>
      <c r="AX32" s="10">
        <f t="shared" si="27"/>
        <v>0</v>
      </c>
      <c r="AY32" s="10">
        <f t="shared" si="27"/>
        <v>0</v>
      </c>
      <c r="AZ32" s="10">
        <f t="shared" si="27"/>
        <v>0</v>
      </c>
      <c r="BA32" s="10" t="e">
        <f>Q32+AI32</f>
        <v>#REF!</v>
      </c>
      <c r="BB32" s="94" t="e">
        <f>SUM(AZ32:BA32)</f>
        <v>#REF!</v>
      </c>
    </row>
    <row r="33" spans="1:55">
      <c r="B33" s="93"/>
      <c r="C33" s="10"/>
      <c r="D33" s="10"/>
      <c r="E33" s="10"/>
      <c r="F33" s="94"/>
      <c r="G33" s="93"/>
      <c r="H33" s="10"/>
      <c r="I33" s="10"/>
      <c r="J33" s="10"/>
      <c r="K33" s="10"/>
      <c r="L33" s="94"/>
      <c r="M33" s="93"/>
      <c r="N33" s="10"/>
      <c r="O33" s="10"/>
      <c r="P33" s="10"/>
      <c r="Q33" s="10"/>
      <c r="R33" s="94"/>
      <c r="S33" s="10"/>
      <c r="T33" s="93"/>
      <c r="U33" s="10"/>
      <c r="V33" s="10"/>
      <c r="W33" s="10"/>
      <c r="X33" s="94"/>
      <c r="Y33" s="93"/>
      <c r="Z33" s="10"/>
      <c r="AA33" s="10"/>
      <c r="AB33" s="10"/>
      <c r="AC33" s="10"/>
      <c r="AD33" s="94"/>
      <c r="AE33" s="93"/>
      <c r="AF33" s="10"/>
      <c r="AG33" s="10"/>
      <c r="AH33" s="10"/>
      <c r="AI33" s="10"/>
      <c r="AJ33" s="94"/>
      <c r="AK33" s="10"/>
      <c r="AL33" s="93"/>
      <c r="AM33" s="10"/>
      <c r="AN33" s="10"/>
      <c r="AO33" s="10"/>
      <c r="AP33" s="94"/>
      <c r="AQ33" s="93"/>
      <c r="AR33" s="10"/>
      <c r="AS33" s="10"/>
      <c r="AT33" s="10"/>
      <c r="AU33" s="10"/>
      <c r="AV33" s="94"/>
      <c r="AW33" s="93"/>
      <c r="AX33" s="10"/>
      <c r="AY33" s="10"/>
      <c r="AZ33" s="10"/>
      <c r="BA33" s="10"/>
      <c r="BB33" s="94"/>
    </row>
    <row r="34" spans="1:55" ht="14.65" thickBot="1">
      <c r="B34" s="95">
        <f>SUM(B6:B32)</f>
        <v>44242.79</v>
      </c>
      <c r="C34" s="95">
        <f>SUM(C6:C32)</f>
        <v>23978.940000000002</v>
      </c>
      <c r="D34" s="95">
        <f>SUM(D6:D32)</f>
        <v>155105.34</v>
      </c>
      <c r="E34" s="95">
        <f>SUM(E6:E32)</f>
        <v>223327.06999999998</v>
      </c>
      <c r="F34" s="95">
        <f>SUM(F6:F32)</f>
        <v>223327.06999999998</v>
      </c>
      <c r="G34" s="95">
        <f t="shared" ref="G34:R34" si="28">SUM(G6:G33)</f>
        <v>0</v>
      </c>
      <c r="H34" s="87">
        <f t="shared" si="28"/>
        <v>0</v>
      </c>
      <c r="I34" s="87">
        <f t="shared" si="28"/>
        <v>0</v>
      </c>
      <c r="J34" s="87">
        <f t="shared" si="28"/>
        <v>0</v>
      </c>
      <c r="K34" s="87">
        <f t="shared" si="28"/>
        <v>0</v>
      </c>
      <c r="L34" s="96">
        <f t="shared" si="28"/>
        <v>0</v>
      </c>
      <c r="M34" s="95">
        <f t="shared" si="28"/>
        <v>0</v>
      </c>
      <c r="N34" s="87">
        <f t="shared" si="28"/>
        <v>0</v>
      </c>
      <c r="O34" s="87">
        <f t="shared" si="28"/>
        <v>0</v>
      </c>
      <c r="P34" s="87">
        <f t="shared" si="28"/>
        <v>0</v>
      </c>
      <c r="Q34" s="87" t="e">
        <f t="shared" si="28"/>
        <v>#REF!</v>
      </c>
      <c r="R34" s="96" t="e">
        <f t="shared" si="28"/>
        <v>#REF!</v>
      </c>
      <c r="S34" s="10"/>
      <c r="T34" s="95">
        <f t="shared" ref="T34:AJ34" si="29">SUM(T6:T33)</f>
        <v>0</v>
      </c>
      <c r="U34" s="87">
        <f t="shared" si="29"/>
        <v>5034.46</v>
      </c>
      <c r="V34" s="87">
        <f t="shared" si="29"/>
        <v>-15404.57</v>
      </c>
      <c r="W34" s="87">
        <f t="shared" si="29"/>
        <v>-10370.11</v>
      </c>
      <c r="X34" s="96">
        <f t="shared" si="29"/>
        <v>-10370.11</v>
      </c>
      <c r="Y34" s="95">
        <f t="shared" si="29"/>
        <v>0</v>
      </c>
      <c r="Z34" s="87">
        <f t="shared" si="29"/>
        <v>0</v>
      </c>
      <c r="AA34" s="87">
        <f t="shared" si="29"/>
        <v>98724.2</v>
      </c>
      <c r="AB34" s="87">
        <f t="shared" si="29"/>
        <v>98724.2</v>
      </c>
      <c r="AC34" s="87">
        <f t="shared" si="29"/>
        <v>0</v>
      </c>
      <c r="AD34" s="96">
        <f t="shared" si="29"/>
        <v>98724.2</v>
      </c>
      <c r="AE34" s="95">
        <f t="shared" si="29"/>
        <v>0</v>
      </c>
      <c r="AF34" s="87">
        <f t="shared" si="29"/>
        <v>0</v>
      </c>
      <c r="AG34" s="87">
        <f t="shared" si="29"/>
        <v>114128.77</v>
      </c>
      <c r="AH34" s="87">
        <f t="shared" si="29"/>
        <v>114128.77</v>
      </c>
      <c r="AI34" s="87" t="e">
        <f t="shared" si="29"/>
        <v>#REF!</v>
      </c>
      <c r="AJ34" s="96" t="e">
        <f t="shared" si="29"/>
        <v>#REF!</v>
      </c>
      <c r="AK34" s="10"/>
      <c r="AL34" s="95">
        <f t="shared" ref="AL34:BB34" si="30">SUM(AL6:AL33)</f>
        <v>44242.79</v>
      </c>
      <c r="AM34" s="87">
        <f t="shared" si="30"/>
        <v>29013.4</v>
      </c>
      <c r="AN34" s="87">
        <f t="shared" si="30"/>
        <v>139700.76999999999</v>
      </c>
      <c r="AO34" s="87">
        <f t="shared" si="30"/>
        <v>212956.96000000002</v>
      </c>
      <c r="AP34" s="96">
        <f t="shared" si="30"/>
        <v>212956.96000000002</v>
      </c>
      <c r="AQ34" s="95">
        <f t="shared" si="30"/>
        <v>0</v>
      </c>
      <c r="AR34" s="87">
        <f t="shared" si="30"/>
        <v>0</v>
      </c>
      <c r="AS34" s="87">
        <f t="shared" si="30"/>
        <v>98724.2</v>
      </c>
      <c r="AT34" s="87">
        <f t="shared" si="30"/>
        <v>98724.2</v>
      </c>
      <c r="AU34" s="87">
        <f t="shared" si="30"/>
        <v>0</v>
      </c>
      <c r="AV34" s="96">
        <f t="shared" si="30"/>
        <v>98724.2</v>
      </c>
      <c r="AW34" s="95">
        <f t="shared" si="30"/>
        <v>-44242.79</v>
      </c>
      <c r="AX34" s="87">
        <f t="shared" si="30"/>
        <v>-3106.6099999999997</v>
      </c>
      <c r="AY34" s="87">
        <f t="shared" si="30"/>
        <v>-40976.570000000007</v>
      </c>
      <c r="AZ34" s="87">
        <f t="shared" si="30"/>
        <v>-88325.970000000016</v>
      </c>
      <c r="BA34" s="87" t="e">
        <f t="shared" si="30"/>
        <v>#REF!</v>
      </c>
      <c r="BB34" s="96" t="e">
        <f t="shared" si="30"/>
        <v>#REF!</v>
      </c>
      <c r="BC34" s="10"/>
    </row>
    <row r="35" spans="1:55">
      <c r="B35" s="93"/>
      <c r="C35" s="10"/>
      <c r="D35" s="10"/>
      <c r="E35" s="10"/>
      <c r="F35" s="94"/>
      <c r="G35" s="93"/>
      <c r="H35" s="10"/>
      <c r="I35" s="10"/>
      <c r="J35" s="10"/>
      <c r="K35" s="10"/>
      <c r="L35" s="94"/>
      <c r="M35" s="93"/>
      <c r="N35" s="10"/>
      <c r="O35" s="10"/>
      <c r="P35" s="10"/>
      <c r="Q35" s="10"/>
      <c r="R35" s="94"/>
      <c r="S35" s="10"/>
      <c r="T35" s="93"/>
      <c r="U35" s="10"/>
      <c r="V35" s="10"/>
      <c r="W35" s="10"/>
      <c r="X35" s="94"/>
      <c r="Y35" s="93"/>
      <c r="Z35" s="10"/>
      <c r="AA35" s="10"/>
      <c r="AB35" s="10">
        <f>260425.94-161701.74</f>
        <v>98724.200000000012</v>
      </c>
      <c r="AC35" s="10">
        <v>-18146.13</v>
      </c>
      <c r="AD35" s="94">
        <f>AB35+AC35</f>
        <v>80578.070000000007</v>
      </c>
      <c r="AE35" s="93"/>
      <c r="AF35" s="10"/>
      <c r="AG35" s="10"/>
      <c r="AH35" s="10">
        <f>AB35-W35</f>
        <v>98724.200000000012</v>
      </c>
      <c r="AI35" s="10" t="e">
        <f>AC35-#REF!</f>
        <v>#REF!</v>
      </c>
      <c r="AJ35" s="94" t="e">
        <f>AH35+AI35</f>
        <v>#REF!</v>
      </c>
      <c r="AK35" s="10"/>
      <c r="AL35" s="93"/>
      <c r="AM35" s="10"/>
      <c r="AN35" s="10"/>
      <c r="AO35" s="10"/>
      <c r="AP35" s="94"/>
      <c r="AQ35" s="93"/>
      <c r="AR35" s="10"/>
      <c r="AS35" s="10"/>
      <c r="AT35" s="10">
        <v>200751.82</v>
      </c>
      <c r="AU35" s="10"/>
      <c r="AV35" s="94"/>
      <c r="AW35" s="93"/>
      <c r="AX35" s="10"/>
      <c r="AY35" s="10"/>
      <c r="AZ35" s="10"/>
      <c r="BA35" s="10"/>
      <c r="BB35" s="94"/>
    </row>
    <row r="36" spans="1:55">
      <c r="B36" s="93"/>
      <c r="C36" s="10"/>
      <c r="D36" s="10"/>
      <c r="E36" s="10"/>
      <c r="F36" s="94"/>
      <c r="G36" s="93"/>
      <c r="H36" s="10"/>
      <c r="I36" s="10"/>
      <c r="J36" s="10"/>
      <c r="K36" s="10"/>
      <c r="L36" s="94"/>
      <c r="M36" s="93"/>
      <c r="N36" s="10"/>
      <c r="O36" s="10"/>
      <c r="P36" s="10"/>
      <c r="Q36" s="10"/>
      <c r="R36" s="94"/>
      <c r="S36" s="10"/>
      <c r="T36" s="93"/>
      <c r="U36" s="10"/>
      <c r="V36" s="10"/>
      <c r="W36" s="10"/>
      <c r="X36" s="94"/>
      <c r="Y36" s="93"/>
      <c r="Z36" s="10"/>
      <c r="AA36" s="10"/>
      <c r="AB36" s="10"/>
      <c r="AC36" s="10"/>
      <c r="AD36" s="94"/>
      <c r="AE36" s="93"/>
      <c r="AF36" s="10"/>
      <c r="AG36" s="10"/>
      <c r="AH36" s="10"/>
      <c r="AI36" s="10"/>
      <c r="AJ36" s="94"/>
      <c r="AK36" s="10"/>
      <c r="AL36" s="93"/>
      <c r="AM36" s="10"/>
      <c r="AN36" s="10"/>
      <c r="AO36" s="10"/>
      <c r="AP36" s="94"/>
      <c r="AQ36" s="93"/>
      <c r="AR36" s="10"/>
      <c r="AS36" s="10"/>
      <c r="AT36" s="10"/>
      <c r="AU36" s="10"/>
      <c r="AV36" s="94"/>
      <c r="AW36" s="93"/>
      <c r="AX36" s="10"/>
      <c r="AY36" s="10"/>
      <c r="AZ36" s="10"/>
      <c r="BA36" s="10"/>
      <c r="BB36" s="94"/>
    </row>
    <row r="37" spans="1:55">
      <c r="A37" t="s">
        <v>261</v>
      </c>
      <c r="B37" s="93"/>
      <c r="C37" s="10"/>
      <c r="D37" s="10"/>
      <c r="E37" s="10">
        <v>23631.249999999993</v>
      </c>
      <c r="F37" s="94">
        <v>23631.249999999993</v>
      </c>
      <c r="G37" s="93"/>
      <c r="H37" s="10"/>
      <c r="I37" s="10"/>
      <c r="J37" s="10"/>
      <c r="K37" s="10"/>
      <c r="L37" s="94"/>
      <c r="M37" s="93"/>
      <c r="N37" s="10"/>
      <c r="O37" s="10"/>
      <c r="P37" s="10"/>
      <c r="Q37" s="10" t="e">
        <f>K37-#REF!</f>
        <v>#REF!</v>
      </c>
      <c r="R37" s="94" t="e">
        <f t="shared" ref="R37:R41" si="31">SUM(P37:Q37)</f>
        <v>#REF!</v>
      </c>
      <c r="S37" s="10"/>
      <c r="T37" s="93"/>
      <c r="U37" s="10"/>
      <c r="V37" s="10">
        <f>173740.64-145244.21</f>
        <v>28496.430000000022</v>
      </c>
      <c r="W37" s="10">
        <f t="shared" ref="W37:W41" si="32">SUM(T37:V37)</f>
        <v>28496.430000000022</v>
      </c>
      <c r="X37" s="94">
        <f t="shared" ref="X37:X41" si="33">SUM(W37:W37)</f>
        <v>28496.430000000022</v>
      </c>
      <c r="Y37" s="93"/>
      <c r="Z37" s="10"/>
      <c r="AA37" s="10"/>
      <c r="AB37" s="10">
        <f>262301.1-165961.74</f>
        <v>96339.359999999986</v>
      </c>
      <c r="AC37" s="10"/>
      <c r="AD37" s="94">
        <f t="shared" ref="AD37:AD41" si="34">SUM(AB37:AC37)</f>
        <v>96339.359999999986</v>
      </c>
      <c r="AE37" s="93"/>
      <c r="AF37" s="10"/>
      <c r="AG37" s="10"/>
      <c r="AH37" s="10">
        <f>AB37-W37</f>
        <v>67842.929999999964</v>
      </c>
      <c r="AI37" s="10" t="e">
        <f>AC37-#REF!</f>
        <v>#REF!</v>
      </c>
      <c r="AJ37" s="94" t="e">
        <f t="shared" ref="AJ37:AJ41" si="35">SUM(AH37:AI37)</f>
        <v>#REF!</v>
      </c>
      <c r="AK37" s="10"/>
      <c r="AL37" s="93"/>
      <c r="AM37" s="10"/>
      <c r="AN37" s="10"/>
      <c r="AO37" s="10">
        <f t="shared" ref="AO37:AO41" si="36">E37+W37</f>
        <v>52127.680000000015</v>
      </c>
      <c r="AP37" s="94">
        <f t="shared" ref="AP37:AP41" si="37">SUM(AO37:AO37)</f>
        <v>52127.680000000015</v>
      </c>
      <c r="AQ37" s="93"/>
      <c r="AR37" s="10"/>
      <c r="AS37" s="10"/>
      <c r="AT37" s="10">
        <f t="shared" ref="AT37:AU39" si="38">J37+AB37</f>
        <v>96339.359999999986</v>
      </c>
      <c r="AU37" s="10">
        <f t="shared" si="38"/>
        <v>0</v>
      </c>
      <c r="AV37" s="94">
        <f t="shared" ref="AV37:AV41" si="39">SUM(AT37:AU37)</f>
        <v>96339.359999999986</v>
      </c>
      <c r="AW37" s="93"/>
      <c r="AX37" s="10"/>
      <c r="AY37" s="10"/>
      <c r="AZ37" s="10">
        <f>AT37-AO37</f>
        <v>44211.679999999971</v>
      </c>
      <c r="BA37" s="10" t="e">
        <f>AU37-#REF!</f>
        <v>#REF!</v>
      </c>
      <c r="BB37" s="94" t="e">
        <f t="shared" ref="BB37:BB41" si="40">SUM(AZ37:BA37)</f>
        <v>#REF!</v>
      </c>
    </row>
    <row r="38" spans="1:55">
      <c r="A38" t="s">
        <v>262</v>
      </c>
      <c r="B38" s="93"/>
      <c r="C38" s="10"/>
      <c r="D38" s="10"/>
      <c r="E38" s="10">
        <v>25524</v>
      </c>
      <c r="F38" s="94">
        <v>25524</v>
      </c>
      <c r="G38" s="93"/>
      <c r="H38" s="10"/>
      <c r="I38" s="10"/>
      <c r="J38" s="10"/>
      <c r="K38" s="10"/>
      <c r="L38" s="94"/>
      <c r="M38" s="93"/>
      <c r="N38" s="10"/>
      <c r="O38" s="10"/>
      <c r="P38" s="10"/>
      <c r="Q38" s="10" t="e">
        <f>K38-#REF!</f>
        <v>#REF!</v>
      </c>
      <c r="R38" s="94" t="e">
        <f t="shared" si="31"/>
        <v>#REF!</v>
      </c>
      <c r="S38" s="10"/>
      <c r="T38" s="93"/>
      <c r="U38" s="10"/>
      <c r="V38" s="10">
        <f>16711.34-22039.87</f>
        <v>-5328.5299999999988</v>
      </c>
      <c r="W38" s="10">
        <f t="shared" si="32"/>
        <v>-5328.5299999999988</v>
      </c>
      <c r="X38" s="94">
        <f t="shared" si="33"/>
        <v>-5328.5299999999988</v>
      </c>
      <c r="Y38" s="93"/>
      <c r="Z38" s="10"/>
      <c r="AA38" s="10"/>
      <c r="AB38" s="10">
        <v>3720</v>
      </c>
      <c r="AC38" s="10"/>
      <c r="AD38" s="94">
        <f t="shared" si="34"/>
        <v>3720</v>
      </c>
      <c r="AE38" s="93"/>
      <c r="AF38" s="10"/>
      <c r="AG38" s="10"/>
      <c r="AH38" s="10">
        <f>AB38-W38</f>
        <v>9048.5299999999988</v>
      </c>
      <c r="AI38" s="10" t="e">
        <f>AC38-#REF!</f>
        <v>#REF!</v>
      </c>
      <c r="AJ38" s="94" t="e">
        <f t="shared" si="35"/>
        <v>#REF!</v>
      </c>
      <c r="AK38" s="10"/>
      <c r="AL38" s="93"/>
      <c r="AM38" s="10"/>
      <c r="AN38" s="10"/>
      <c r="AO38" s="10">
        <f t="shared" si="36"/>
        <v>20195.47</v>
      </c>
      <c r="AP38" s="94">
        <f t="shared" si="37"/>
        <v>20195.47</v>
      </c>
      <c r="AQ38" s="93"/>
      <c r="AR38" s="10"/>
      <c r="AS38" s="10"/>
      <c r="AT38" s="10">
        <f t="shared" si="38"/>
        <v>3720</v>
      </c>
      <c r="AU38" s="10">
        <f t="shared" si="38"/>
        <v>0</v>
      </c>
      <c r="AV38" s="94">
        <f t="shared" si="39"/>
        <v>3720</v>
      </c>
      <c r="AW38" s="93"/>
      <c r="AX38" s="10"/>
      <c r="AY38" s="10"/>
      <c r="AZ38" s="10">
        <f>AT38-AO38</f>
        <v>-16475.47</v>
      </c>
      <c r="BA38" s="10" t="e">
        <f>AU38-#REF!</f>
        <v>#REF!</v>
      </c>
      <c r="BB38" s="94" t="e">
        <f t="shared" si="40"/>
        <v>#REF!</v>
      </c>
    </row>
    <row r="39" spans="1:55">
      <c r="A39" t="s">
        <v>263</v>
      </c>
      <c r="B39" s="93"/>
      <c r="C39" s="10"/>
      <c r="D39" s="10"/>
      <c r="E39" s="10">
        <v>61045.55</v>
      </c>
      <c r="F39" s="94">
        <v>61045.55</v>
      </c>
      <c r="G39" s="93"/>
      <c r="H39" s="10"/>
      <c r="I39" s="10"/>
      <c r="J39" s="10"/>
      <c r="K39" s="10"/>
      <c r="L39" s="94"/>
      <c r="M39" s="93"/>
      <c r="N39" s="10"/>
      <c r="O39" s="10"/>
      <c r="P39" s="10"/>
      <c r="Q39" s="10" t="e">
        <f>K39-#REF!</f>
        <v>#REF!</v>
      </c>
      <c r="R39" s="94" t="e">
        <f t="shared" si="31"/>
        <v>#REF!</v>
      </c>
      <c r="S39" s="10"/>
      <c r="T39" s="93"/>
      <c r="U39" s="10"/>
      <c r="V39" s="10">
        <f>358.04-30631.78</f>
        <v>-30273.739999999998</v>
      </c>
      <c r="W39" s="10">
        <f t="shared" si="32"/>
        <v>-30273.739999999998</v>
      </c>
      <c r="X39" s="94">
        <f t="shared" si="33"/>
        <v>-30273.739999999998</v>
      </c>
      <c r="Y39" s="93"/>
      <c r="Z39" s="10"/>
      <c r="AA39" s="10"/>
      <c r="AB39" s="10"/>
      <c r="AC39" s="10">
        <v>-29177.29</v>
      </c>
      <c r="AD39" s="94">
        <f t="shared" si="34"/>
        <v>-29177.29</v>
      </c>
      <c r="AE39" s="93"/>
      <c r="AF39" s="10"/>
      <c r="AG39" s="10"/>
      <c r="AH39" s="10">
        <f>AB39-W39</f>
        <v>30273.739999999998</v>
      </c>
      <c r="AI39" s="10" t="e">
        <f>AC39-#REF!</f>
        <v>#REF!</v>
      </c>
      <c r="AJ39" s="94" t="e">
        <f t="shared" si="35"/>
        <v>#REF!</v>
      </c>
      <c r="AK39" s="10"/>
      <c r="AL39" s="93"/>
      <c r="AM39" s="10"/>
      <c r="AN39" s="10"/>
      <c r="AO39" s="10">
        <f t="shared" si="36"/>
        <v>30771.810000000005</v>
      </c>
      <c r="AP39" s="94">
        <f t="shared" si="37"/>
        <v>30771.810000000005</v>
      </c>
      <c r="AQ39" s="93"/>
      <c r="AR39" s="10"/>
      <c r="AS39" s="10"/>
      <c r="AT39" s="10">
        <f t="shared" si="38"/>
        <v>0</v>
      </c>
      <c r="AU39" s="10">
        <f t="shared" si="38"/>
        <v>-29177.29</v>
      </c>
      <c r="AV39" s="94">
        <f t="shared" si="39"/>
        <v>-29177.29</v>
      </c>
      <c r="AW39" s="93"/>
      <c r="AX39" s="10"/>
      <c r="AY39" s="10"/>
      <c r="AZ39" s="10">
        <f>AT39-AO39</f>
        <v>-30771.810000000005</v>
      </c>
      <c r="BA39" s="10" t="e">
        <f>AU39-#REF!</f>
        <v>#REF!</v>
      </c>
      <c r="BB39" s="94" t="e">
        <f t="shared" si="40"/>
        <v>#REF!</v>
      </c>
    </row>
    <row r="40" spans="1:55">
      <c r="A40" t="s">
        <v>264</v>
      </c>
      <c r="B40" s="93"/>
      <c r="C40" s="10"/>
      <c r="D40" s="10"/>
      <c r="E40" s="10">
        <v>51927.79</v>
      </c>
      <c r="F40" s="94">
        <v>51927.79</v>
      </c>
      <c r="G40" s="93"/>
      <c r="H40" s="10"/>
      <c r="I40" s="10"/>
      <c r="J40" s="10"/>
      <c r="K40" s="10"/>
      <c r="L40" s="94"/>
      <c r="M40" s="93"/>
      <c r="N40" s="10"/>
      <c r="O40" s="10"/>
      <c r="P40" s="10"/>
      <c r="Q40" s="10"/>
      <c r="R40" s="94"/>
      <c r="S40" s="10"/>
      <c r="T40" s="93"/>
      <c r="U40" s="10"/>
      <c r="V40" s="10">
        <v>259.64</v>
      </c>
      <c r="W40" s="10">
        <f t="shared" si="32"/>
        <v>259.64</v>
      </c>
      <c r="X40" s="94">
        <f t="shared" si="33"/>
        <v>259.64</v>
      </c>
      <c r="Y40" s="93"/>
      <c r="Z40" s="10"/>
      <c r="AA40" s="10"/>
      <c r="AB40" s="10"/>
      <c r="AC40" s="10"/>
      <c r="AD40" s="94"/>
      <c r="AE40" s="93"/>
      <c r="AF40" s="10"/>
      <c r="AG40" s="10"/>
      <c r="AH40" s="10"/>
      <c r="AI40" s="10"/>
      <c r="AJ40" s="94"/>
      <c r="AK40" s="10"/>
      <c r="AL40" s="93"/>
      <c r="AM40" s="10"/>
      <c r="AN40" s="10"/>
      <c r="AO40" s="10">
        <f t="shared" si="36"/>
        <v>52187.43</v>
      </c>
      <c r="AP40" s="94">
        <f t="shared" si="37"/>
        <v>52187.43</v>
      </c>
      <c r="AQ40" s="93"/>
      <c r="AR40" s="10"/>
      <c r="AS40" s="10"/>
      <c r="AT40" s="10"/>
      <c r="AU40" s="10"/>
      <c r="AV40" s="94"/>
      <c r="AW40" s="93"/>
      <c r="AX40" s="10"/>
      <c r="AY40" s="10"/>
      <c r="AZ40" s="10"/>
      <c r="BA40" s="10"/>
      <c r="BB40" s="94"/>
    </row>
    <row r="41" spans="1:55" ht="14.65" thickBot="1">
      <c r="A41" t="s">
        <v>265</v>
      </c>
      <c r="B41" s="93"/>
      <c r="C41" s="10"/>
      <c r="D41" s="10"/>
      <c r="E41" s="10">
        <v>58782.35</v>
      </c>
      <c r="F41" s="94">
        <v>58782.35</v>
      </c>
      <c r="G41" s="93"/>
      <c r="H41" s="10"/>
      <c r="I41" s="10"/>
      <c r="J41" s="10"/>
      <c r="K41" s="10"/>
      <c r="L41" s="94"/>
      <c r="M41" s="93"/>
      <c r="N41" s="10"/>
      <c r="O41" s="10"/>
      <c r="P41" s="10"/>
      <c r="Q41" s="10" t="e">
        <f>K41-#REF!</f>
        <v>#REF!</v>
      </c>
      <c r="R41" s="94" t="e">
        <f t="shared" si="31"/>
        <v>#REF!</v>
      </c>
      <c r="S41" s="10"/>
      <c r="T41" s="93"/>
      <c r="U41" s="10"/>
      <c r="V41" s="10"/>
      <c r="W41" s="10">
        <f t="shared" si="32"/>
        <v>0</v>
      </c>
      <c r="X41" s="94">
        <f t="shared" si="33"/>
        <v>0</v>
      </c>
      <c r="Y41" s="93"/>
      <c r="Z41" s="10"/>
      <c r="AA41" s="10"/>
      <c r="AB41" s="10">
        <v>0</v>
      </c>
      <c r="AC41" s="10"/>
      <c r="AD41" s="94">
        <f t="shared" si="34"/>
        <v>0</v>
      </c>
      <c r="AE41" s="93"/>
      <c r="AF41" s="10"/>
      <c r="AG41" s="10"/>
      <c r="AH41" s="10">
        <f>AB41-W41</f>
        <v>0</v>
      </c>
      <c r="AI41" s="10" t="e">
        <f>AC41-#REF!</f>
        <v>#REF!</v>
      </c>
      <c r="AJ41" s="94" t="e">
        <f t="shared" si="35"/>
        <v>#REF!</v>
      </c>
      <c r="AK41" s="10"/>
      <c r="AL41" s="93"/>
      <c r="AM41" s="10"/>
      <c r="AN41" s="10"/>
      <c r="AO41" s="10">
        <f t="shared" si="36"/>
        <v>58782.35</v>
      </c>
      <c r="AP41" s="94">
        <f t="shared" si="37"/>
        <v>58782.35</v>
      </c>
      <c r="AQ41" s="93"/>
      <c r="AR41" s="10"/>
      <c r="AS41" s="10"/>
      <c r="AT41" s="10">
        <f>J41+AB41</f>
        <v>0</v>
      </c>
      <c r="AU41" s="10">
        <f>K41+AC41</f>
        <v>0</v>
      </c>
      <c r="AV41" s="94">
        <f t="shared" si="39"/>
        <v>0</v>
      </c>
      <c r="AW41" s="93"/>
      <c r="AX41" s="10"/>
      <c r="AY41" s="10"/>
      <c r="AZ41" s="10">
        <f>AT41-AO41</f>
        <v>-58782.35</v>
      </c>
      <c r="BA41" s="10" t="e">
        <f>AU41-#REF!</f>
        <v>#REF!</v>
      </c>
      <c r="BB41" s="94" t="e">
        <f t="shared" si="40"/>
        <v>#REF!</v>
      </c>
    </row>
    <row r="42" spans="1:55">
      <c r="B42" s="93"/>
      <c r="C42" s="10"/>
      <c r="D42" s="10"/>
      <c r="E42" s="199">
        <v>220910.94</v>
      </c>
      <c r="F42" s="200">
        <v>220910.94</v>
      </c>
      <c r="G42" s="93"/>
      <c r="H42" s="10"/>
      <c r="I42" s="10"/>
      <c r="J42" s="88">
        <f>SUM(J37:J41)</f>
        <v>0</v>
      </c>
      <c r="K42" s="88">
        <f>SUM(K37:K41)</f>
        <v>0</v>
      </c>
      <c r="L42" s="97">
        <f>SUM(L37:L41)</f>
        <v>0</v>
      </c>
      <c r="M42" s="93"/>
      <c r="N42" s="10"/>
      <c r="O42" s="10"/>
      <c r="P42" s="88">
        <f>SUM(P37:P41)</f>
        <v>0</v>
      </c>
      <c r="Q42" s="88" t="e">
        <f>SUM(Q37:Q41)</f>
        <v>#REF!</v>
      </c>
      <c r="R42" s="97" t="e">
        <f>SUM(R37:R41)</f>
        <v>#REF!</v>
      </c>
      <c r="S42" s="10"/>
      <c r="T42" s="93"/>
      <c r="U42" s="10"/>
      <c r="V42" s="10"/>
      <c r="W42" s="199">
        <f>SUM(W37:W41)</f>
        <v>-6846.1999999999744</v>
      </c>
      <c r="X42" s="200">
        <f>SUM(X37:X41)</f>
        <v>-6846.1999999999744</v>
      </c>
      <c r="Y42" s="93"/>
      <c r="Z42" s="10"/>
      <c r="AA42" s="10"/>
      <c r="AB42" s="88">
        <f>SUM(AB37:AB41)</f>
        <v>100059.35999999999</v>
      </c>
      <c r="AC42" s="88">
        <f>SUM(AC37:AC41)</f>
        <v>-29177.29</v>
      </c>
      <c r="AD42" s="97">
        <f>SUM(AD37:AD41)</f>
        <v>70882.069999999978</v>
      </c>
      <c r="AE42" s="93"/>
      <c r="AF42" s="10"/>
      <c r="AG42" s="10"/>
      <c r="AH42" s="88">
        <f>SUM(AH37:AH41)</f>
        <v>107165.19999999995</v>
      </c>
      <c r="AI42" s="88" t="e">
        <f>SUM(AI37:AI41)</f>
        <v>#REF!</v>
      </c>
      <c r="AJ42" s="97" t="e">
        <f>SUM(AJ37:AJ41)</f>
        <v>#REF!</v>
      </c>
      <c r="AK42" s="10"/>
      <c r="AL42" s="93"/>
      <c r="AM42" s="10"/>
      <c r="AN42" s="10"/>
      <c r="AO42" s="88">
        <f>SUM(AO37:AO41)</f>
        <v>214064.74000000002</v>
      </c>
      <c r="AP42" s="97">
        <f>SUM(AP37:AP41)</f>
        <v>214064.74000000002</v>
      </c>
      <c r="AQ42" s="93"/>
      <c r="AR42" s="10"/>
      <c r="AS42" s="10"/>
      <c r="AT42" s="88">
        <f>SUM(AT37:AT41)</f>
        <v>100059.35999999999</v>
      </c>
      <c r="AU42" s="88">
        <f>SUM(AU37:AU41)</f>
        <v>-29177.29</v>
      </c>
      <c r="AV42" s="97">
        <f>SUM(AV37:AV41)</f>
        <v>70882.069999999978</v>
      </c>
      <c r="AW42" s="93"/>
      <c r="AX42" s="10"/>
      <c r="AY42" s="10"/>
      <c r="AZ42" s="88">
        <f>SUM(AZ37:AZ41)</f>
        <v>-61817.950000000033</v>
      </c>
      <c r="BA42" s="88" t="e">
        <f>SUM(BA37:BA41)</f>
        <v>#REF!</v>
      </c>
      <c r="BB42" s="97" t="e">
        <f>SUM(BB37:BB41)</f>
        <v>#REF!</v>
      </c>
    </row>
    <row r="43" spans="1:55">
      <c r="A43" t="s">
        <v>266</v>
      </c>
      <c r="B43" s="93"/>
      <c r="C43" s="10"/>
      <c r="D43" s="10"/>
      <c r="E43" s="10">
        <v>49.45</v>
      </c>
      <c r="F43" s="94">
        <v>49.45</v>
      </c>
      <c r="G43" s="93"/>
      <c r="H43" s="10"/>
      <c r="I43" s="10"/>
      <c r="J43" s="10"/>
      <c r="K43" s="10"/>
      <c r="L43" s="94"/>
      <c r="M43" s="93"/>
      <c r="N43" s="10"/>
      <c r="O43" s="10"/>
      <c r="P43" s="10"/>
      <c r="Q43" s="10" t="e">
        <f>K43-#REF!</f>
        <v>#REF!</v>
      </c>
      <c r="R43" s="94" t="e">
        <f>SUM(P43:Q43)</f>
        <v>#REF!</v>
      </c>
      <c r="S43" s="10"/>
      <c r="T43" s="93"/>
      <c r="U43" s="10"/>
      <c r="V43" s="10"/>
      <c r="W43" s="10">
        <v>0</v>
      </c>
      <c r="X43" s="94">
        <f>SUM(W43:W43)</f>
        <v>0</v>
      </c>
      <c r="Y43" s="93"/>
      <c r="Z43" s="10"/>
      <c r="AA43" s="10"/>
      <c r="AB43" s="10">
        <v>0</v>
      </c>
      <c r="AC43" s="10"/>
      <c r="AD43" s="94">
        <f>SUM(AB43:AC43)</f>
        <v>0</v>
      </c>
      <c r="AE43" s="93"/>
      <c r="AF43" s="10"/>
      <c r="AG43" s="10"/>
      <c r="AH43" s="10">
        <f>AB43-W43</f>
        <v>0</v>
      </c>
      <c r="AI43" s="10" t="e">
        <f>AC43-#REF!</f>
        <v>#REF!</v>
      </c>
      <c r="AJ43" s="94" t="e">
        <f>SUM(AH43:AI43)</f>
        <v>#REF!</v>
      </c>
      <c r="AK43" s="10"/>
      <c r="AL43" s="93"/>
      <c r="AM43" s="10"/>
      <c r="AN43" s="10"/>
      <c r="AO43" s="10">
        <f>E43+W43</f>
        <v>49.45</v>
      </c>
      <c r="AP43" s="94">
        <f>SUM(AO43:AO43)</f>
        <v>49.45</v>
      </c>
      <c r="AQ43" s="93"/>
      <c r="AR43" s="10"/>
      <c r="AS43" s="10"/>
      <c r="AT43" s="10">
        <f t="shared" ref="AT43:AU47" si="41">J43+AB43</f>
        <v>0</v>
      </c>
      <c r="AU43" s="10">
        <f t="shared" si="41"/>
        <v>0</v>
      </c>
      <c r="AV43" s="94">
        <f>SUM(AT43:AU43)</f>
        <v>0</v>
      </c>
      <c r="AW43" s="93"/>
      <c r="AX43" s="10"/>
      <c r="AY43" s="10"/>
      <c r="AZ43" s="10">
        <f>AT43-AO43</f>
        <v>-49.45</v>
      </c>
      <c r="BA43" s="10" t="e">
        <f>AU43-#REF!</f>
        <v>#REF!</v>
      </c>
      <c r="BB43" s="94" t="e">
        <f>SUM(AZ43:BA43)</f>
        <v>#REF!</v>
      </c>
    </row>
    <row r="44" spans="1:55">
      <c r="A44" t="s">
        <v>267</v>
      </c>
      <c r="B44" s="93"/>
      <c r="C44" s="10"/>
      <c r="D44" s="10"/>
      <c r="E44" s="10">
        <v>631.27</v>
      </c>
      <c r="F44" s="94">
        <v>631.27</v>
      </c>
      <c r="G44" s="93"/>
      <c r="H44" s="10"/>
      <c r="I44" s="10"/>
      <c r="J44" s="10"/>
      <c r="K44" s="10"/>
      <c r="L44" s="94"/>
      <c r="M44" s="93"/>
      <c r="N44" s="10"/>
      <c r="O44" s="10"/>
      <c r="P44" s="10"/>
      <c r="Q44" s="10" t="e">
        <f>K44-#REF!</f>
        <v>#REF!</v>
      </c>
      <c r="R44" s="94" t="e">
        <f>SUM(P44:Q44)</f>
        <v>#REF!</v>
      </c>
      <c r="S44" s="10"/>
      <c r="T44" s="93"/>
      <c r="U44" s="10"/>
      <c r="V44" s="10"/>
      <c r="W44" s="10">
        <v>0</v>
      </c>
      <c r="X44" s="94">
        <f>SUM(W44:W44)</f>
        <v>0</v>
      </c>
      <c r="Y44" s="93"/>
      <c r="Z44" s="10"/>
      <c r="AA44" s="10"/>
      <c r="AB44" s="10">
        <f>7116.46-7086.19</f>
        <v>30.270000000000437</v>
      </c>
      <c r="AC44" s="10"/>
      <c r="AD44" s="94">
        <f>SUM(AB44:AC44)</f>
        <v>30.270000000000437</v>
      </c>
      <c r="AE44" s="93"/>
      <c r="AF44" s="10"/>
      <c r="AG44" s="10"/>
      <c r="AH44" s="10">
        <f>AB44-W44</f>
        <v>30.270000000000437</v>
      </c>
      <c r="AI44" s="10" t="e">
        <f>AC44-#REF!</f>
        <v>#REF!</v>
      </c>
      <c r="AJ44" s="94" t="e">
        <f>SUM(AH44:AI44)</f>
        <v>#REF!</v>
      </c>
      <c r="AK44" s="10"/>
      <c r="AL44" s="93"/>
      <c r="AM44" s="10"/>
      <c r="AN44" s="10"/>
      <c r="AO44" s="10">
        <f>E44+W44</f>
        <v>631.27</v>
      </c>
      <c r="AP44" s="94">
        <f>SUM(AO44:AO44)</f>
        <v>631.27</v>
      </c>
      <c r="AQ44" s="93"/>
      <c r="AR44" s="10"/>
      <c r="AS44" s="10"/>
      <c r="AT44" s="10">
        <f t="shared" si="41"/>
        <v>30.270000000000437</v>
      </c>
      <c r="AU44" s="10">
        <f t="shared" si="41"/>
        <v>0</v>
      </c>
      <c r="AV44" s="94">
        <f>SUM(AT44:AU44)</f>
        <v>30.270000000000437</v>
      </c>
      <c r="AW44" s="93"/>
      <c r="AX44" s="10"/>
      <c r="AY44" s="10"/>
      <c r="AZ44" s="10">
        <f>AT44-AO44</f>
        <v>-600.99999999999955</v>
      </c>
      <c r="BA44" s="10" t="e">
        <f>AU44-#REF!</f>
        <v>#REF!</v>
      </c>
      <c r="BB44" s="94" t="e">
        <f>SUM(AZ44:BA44)</f>
        <v>#REF!</v>
      </c>
    </row>
    <row r="45" spans="1:55">
      <c r="A45" t="s">
        <v>257</v>
      </c>
      <c r="B45" s="93"/>
      <c r="C45" s="10"/>
      <c r="D45" s="10"/>
      <c r="E45" s="10">
        <v>394.59</v>
      </c>
      <c r="F45" s="94">
        <v>394.59</v>
      </c>
      <c r="G45" s="93"/>
      <c r="H45" s="10"/>
      <c r="I45" s="10"/>
      <c r="J45" s="10"/>
      <c r="K45" s="10"/>
      <c r="L45" s="94"/>
      <c r="M45" s="93"/>
      <c r="N45" s="10"/>
      <c r="O45" s="10"/>
      <c r="P45" s="10"/>
      <c r="Q45" s="10" t="e">
        <f>K45-#REF!</f>
        <v>#REF!</v>
      </c>
      <c r="R45" s="94" t="e">
        <f>SUM(P45:Q45)</f>
        <v>#REF!</v>
      </c>
      <c r="S45" s="10"/>
      <c r="T45" s="93"/>
      <c r="U45" s="10"/>
      <c r="V45" s="10"/>
      <c r="W45" s="10">
        <v>0</v>
      </c>
      <c r="X45" s="94">
        <f>SUM(W45:W45)</f>
        <v>0</v>
      </c>
      <c r="Y45" s="93"/>
      <c r="Z45" s="10"/>
      <c r="AA45" s="10"/>
      <c r="AB45" s="10">
        <f>2845.53-2421.24</f>
        <v>424.29000000000042</v>
      </c>
      <c r="AC45" s="10"/>
      <c r="AD45" s="94">
        <f>SUM(AB45:AC45)</f>
        <v>424.29000000000042</v>
      </c>
      <c r="AE45" s="93"/>
      <c r="AF45" s="10"/>
      <c r="AG45" s="10"/>
      <c r="AH45" s="10">
        <f>AB45-W45</f>
        <v>424.29000000000042</v>
      </c>
      <c r="AI45" s="10" t="e">
        <f>AC45-#REF!</f>
        <v>#REF!</v>
      </c>
      <c r="AJ45" s="94" t="e">
        <f>SUM(AH45:AI45)</f>
        <v>#REF!</v>
      </c>
      <c r="AK45" s="10"/>
      <c r="AL45" s="93"/>
      <c r="AM45" s="10"/>
      <c r="AN45" s="10"/>
      <c r="AO45" s="10">
        <f>E45+W45</f>
        <v>394.59</v>
      </c>
      <c r="AP45" s="94">
        <f>SUM(AO45:AO45)</f>
        <v>394.59</v>
      </c>
      <c r="AQ45" s="93"/>
      <c r="AR45" s="10"/>
      <c r="AS45" s="10"/>
      <c r="AT45" s="10">
        <f t="shared" si="41"/>
        <v>424.29000000000042</v>
      </c>
      <c r="AU45" s="10">
        <f t="shared" si="41"/>
        <v>0</v>
      </c>
      <c r="AV45" s="94">
        <f>SUM(AT45:AU45)</f>
        <v>424.29000000000042</v>
      </c>
      <c r="AW45" s="93"/>
      <c r="AX45" s="10"/>
      <c r="AY45" s="10"/>
      <c r="AZ45" s="10">
        <f>AT45-AO45</f>
        <v>29.700000000000443</v>
      </c>
      <c r="BA45" s="10" t="e">
        <f>AU45-#REF!</f>
        <v>#REF!</v>
      </c>
      <c r="BB45" s="94" t="e">
        <f>SUM(AZ45:BA45)</f>
        <v>#REF!</v>
      </c>
    </row>
    <row r="46" spans="1:55">
      <c r="A46" t="s">
        <v>268</v>
      </c>
      <c r="B46" s="93"/>
      <c r="C46" s="10"/>
      <c r="D46" s="10"/>
      <c r="E46" s="10">
        <v>177.22</v>
      </c>
      <c r="F46" s="94">
        <v>177.22</v>
      </c>
      <c r="G46" s="93"/>
      <c r="H46" s="10"/>
      <c r="I46" s="10"/>
      <c r="J46" s="10"/>
      <c r="K46" s="10"/>
      <c r="L46" s="94"/>
      <c r="M46" s="93"/>
      <c r="N46" s="10"/>
      <c r="O46" s="10"/>
      <c r="P46" s="10"/>
      <c r="Q46" s="10" t="e">
        <f>K46-#REF!</f>
        <v>#REF!</v>
      </c>
      <c r="R46" s="94" t="e">
        <f>SUM(P46:Q46)</f>
        <v>#REF!</v>
      </c>
      <c r="S46" s="10"/>
      <c r="T46" s="93"/>
      <c r="U46" s="10"/>
      <c r="V46" s="10"/>
      <c r="W46" s="10">
        <v>0</v>
      </c>
      <c r="X46" s="94">
        <f>SUM(W46:W46)</f>
        <v>0</v>
      </c>
      <c r="Y46" s="93"/>
      <c r="Z46" s="10"/>
      <c r="AA46" s="10"/>
      <c r="AB46" s="10">
        <v>0</v>
      </c>
      <c r="AC46" s="10"/>
      <c r="AD46" s="94">
        <f>SUM(AB46:AC46)</f>
        <v>0</v>
      </c>
      <c r="AE46" s="93"/>
      <c r="AF46" s="10"/>
      <c r="AG46" s="10"/>
      <c r="AH46" s="10">
        <f>AB46-W46</f>
        <v>0</v>
      </c>
      <c r="AI46" s="10" t="e">
        <f>AC46-#REF!</f>
        <v>#REF!</v>
      </c>
      <c r="AJ46" s="94" t="e">
        <f>SUM(AH46:AI46)</f>
        <v>#REF!</v>
      </c>
      <c r="AK46" s="10"/>
      <c r="AL46" s="93"/>
      <c r="AM46" s="10"/>
      <c r="AN46" s="10"/>
      <c r="AO46" s="10">
        <f>E46+W46</f>
        <v>177.22</v>
      </c>
      <c r="AP46" s="94">
        <f>SUM(AO46:AO46)</f>
        <v>177.22</v>
      </c>
      <c r="AQ46" s="93"/>
      <c r="AR46" s="10"/>
      <c r="AS46" s="10"/>
      <c r="AT46" s="10">
        <f t="shared" si="41"/>
        <v>0</v>
      </c>
      <c r="AU46" s="10">
        <f t="shared" si="41"/>
        <v>0</v>
      </c>
      <c r="AV46" s="94">
        <f>SUM(AT46:AU46)</f>
        <v>0</v>
      </c>
      <c r="AW46" s="93"/>
      <c r="AX46" s="10"/>
      <c r="AY46" s="10"/>
      <c r="AZ46" s="10">
        <f>AT46-AO46</f>
        <v>-177.22</v>
      </c>
      <c r="BA46" s="10" t="e">
        <f>AU46-#REF!</f>
        <v>#REF!</v>
      </c>
      <c r="BB46" s="94" t="e">
        <f>SUM(AZ46:BA46)</f>
        <v>#REF!</v>
      </c>
    </row>
    <row r="47" spans="1:55" ht="14.65" thickBot="1">
      <c r="A47" t="s">
        <v>269</v>
      </c>
      <c r="B47" s="93"/>
      <c r="C47" s="10"/>
      <c r="D47" s="10"/>
      <c r="E47" s="10">
        <v>1163.5999999999999</v>
      </c>
      <c r="F47" s="94">
        <v>1163.5999999999999</v>
      </c>
      <c r="G47" s="93"/>
      <c r="H47" s="10"/>
      <c r="I47" s="10"/>
      <c r="J47" s="10"/>
      <c r="K47" s="10"/>
      <c r="L47" s="94"/>
      <c r="M47" s="93"/>
      <c r="N47" s="10"/>
      <c r="O47" s="10"/>
      <c r="P47" s="10">
        <f>J47-E47</f>
        <v>-1163.5999999999999</v>
      </c>
      <c r="Q47" s="10" t="e">
        <f>K47-#REF!</f>
        <v>#REF!</v>
      </c>
      <c r="R47" s="94" t="e">
        <f>SUM(P47:Q47)</f>
        <v>#REF!</v>
      </c>
      <c r="S47" s="10"/>
      <c r="T47" s="93"/>
      <c r="U47" s="10"/>
      <c r="V47" s="10">
        <f>7240.67-10764.58</f>
        <v>-3523.91</v>
      </c>
      <c r="W47" s="10">
        <f>SUM(T47:V47)</f>
        <v>-3523.91</v>
      </c>
      <c r="X47" s="94">
        <f>SUM(W47:W47)</f>
        <v>-3523.91</v>
      </c>
      <c r="Y47" s="93"/>
      <c r="Z47" s="10"/>
      <c r="AA47" s="10"/>
      <c r="AB47" s="10">
        <v>0</v>
      </c>
      <c r="AC47" s="10"/>
      <c r="AD47" s="94">
        <f>SUM(AB47:AC47)</f>
        <v>0</v>
      </c>
      <c r="AE47" s="93"/>
      <c r="AF47" s="10"/>
      <c r="AG47" s="10"/>
      <c r="AH47" s="10">
        <f>AB47-W47</f>
        <v>3523.91</v>
      </c>
      <c r="AI47" s="10" t="e">
        <f>AC47-#REF!</f>
        <v>#REF!</v>
      </c>
      <c r="AJ47" s="94" t="e">
        <f>SUM(AH47:AI47)</f>
        <v>#REF!</v>
      </c>
      <c r="AK47" s="10"/>
      <c r="AL47" s="93"/>
      <c r="AM47" s="10"/>
      <c r="AN47" s="10"/>
      <c r="AO47" s="10">
        <f>E47+W47</f>
        <v>-2360.31</v>
      </c>
      <c r="AP47" s="94">
        <f>SUM(AO47:AO47)</f>
        <v>-2360.31</v>
      </c>
      <c r="AQ47" s="93"/>
      <c r="AR47" s="10"/>
      <c r="AS47" s="10"/>
      <c r="AT47" s="10">
        <f t="shared" si="41"/>
        <v>0</v>
      </c>
      <c r="AU47" s="10">
        <f t="shared" si="41"/>
        <v>0</v>
      </c>
      <c r="AV47" s="94">
        <f>SUM(AT47:AU47)</f>
        <v>0</v>
      </c>
      <c r="AW47" s="93"/>
      <c r="AX47" s="10"/>
      <c r="AY47" s="10"/>
      <c r="AZ47" s="10">
        <f>AT47-AO47</f>
        <v>2360.31</v>
      </c>
      <c r="BA47" s="10" t="e">
        <f>AU47-#REF!</f>
        <v>#REF!</v>
      </c>
      <c r="BB47" s="94" t="e">
        <f>SUM(AZ47:BA47)</f>
        <v>#REF!</v>
      </c>
    </row>
    <row r="48" spans="1:55">
      <c r="B48" s="93"/>
      <c r="C48" s="10"/>
      <c r="D48" s="10"/>
      <c r="E48" s="199">
        <v>223327.07</v>
      </c>
      <c r="F48" s="200">
        <v>223327.07</v>
      </c>
      <c r="G48" s="93"/>
      <c r="H48" s="10"/>
      <c r="I48" s="10"/>
      <c r="J48" s="88">
        <f>SUM(J42:J47)</f>
        <v>0</v>
      </c>
      <c r="K48" s="88">
        <f>SUM(K42:K47)</f>
        <v>0</v>
      </c>
      <c r="L48" s="97">
        <f>SUM(L42:L47)</f>
        <v>0</v>
      </c>
      <c r="M48" s="93"/>
      <c r="N48" s="10"/>
      <c r="O48" s="10"/>
      <c r="P48" s="88">
        <f>SUM(P42:P47)</f>
        <v>-1163.5999999999999</v>
      </c>
      <c r="Q48" s="88" t="e">
        <f>SUM(Q42:Q47)</f>
        <v>#REF!</v>
      </c>
      <c r="R48" s="97" t="e">
        <f>SUM(R42:R47)</f>
        <v>#REF!</v>
      </c>
      <c r="S48" s="10"/>
      <c r="T48" s="93"/>
      <c r="U48" s="10"/>
      <c r="V48" s="10"/>
      <c r="W48" s="199">
        <f>SUM(W42:W47)</f>
        <v>-10370.109999999975</v>
      </c>
      <c r="X48" s="200">
        <f>SUM(X42:X47)</f>
        <v>-10370.109999999975</v>
      </c>
      <c r="Y48" s="93"/>
      <c r="Z48" s="10"/>
      <c r="AA48" s="10"/>
      <c r="AB48" s="88">
        <f>SUM(AB42:AB47)</f>
        <v>100513.91999999998</v>
      </c>
      <c r="AC48" s="88">
        <f>SUM(AC42:AC47)</f>
        <v>-29177.29</v>
      </c>
      <c r="AD48" s="97">
        <f>SUM(AD42:AD47)</f>
        <v>71336.629999999976</v>
      </c>
      <c r="AE48" s="93"/>
      <c r="AF48" s="10"/>
      <c r="AG48" s="10"/>
      <c r="AH48" s="88">
        <f>SUM(AH42:AH47)</f>
        <v>111143.66999999995</v>
      </c>
      <c r="AI48" s="88" t="e">
        <f>SUM(AI42:AI47)</f>
        <v>#REF!</v>
      </c>
      <c r="AJ48" s="97" t="e">
        <f>SUM(AJ42:AJ47)</f>
        <v>#REF!</v>
      </c>
      <c r="AK48" s="10"/>
      <c r="AL48" s="93"/>
      <c r="AM48" s="10"/>
      <c r="AN48" s="10"/>
      <c r="AO48" s="88">
        <f>SUM(AO42:AO47)</f>
        <v>212956.96000000002</v>
      </c>
      <c r="AP48" s="97">
        <f>SUM(AP42:AP47)</f>
        <v>212956.96000000002</v>
      </c>
      <c r="AQ48" s="93"/>
      <c r="AR48" s="10"/>
      <c r="AS48" s="10"/>
      <c r="AT48" s="88">
        <f>SUM(AT42:AT47)</f>
        <v>100513.91999999998</v>
      </c>
      <c r="AU48" s="88">
        <f>SUM(AU42:AU47)</f>
        <v>-29177.29</v>
      </c>
      <c r="AV48" s="97">
        <f>SUM(AV42:AV47)</f>
        <v>71336.629999999976</v>
      </c>
      <c r="AW48" s="93"/>
      <c r="AX48" s="10"/>
      <c r="AY48" s="10"/>
      <c r="AZ48" s="88">
        <f>SUM(AZ42:AZ47)</f>
        <v>-60255.610000000037</v>
      </c>
      <c r="BA48" s="88" t="e">
        <f>SUM(BA42:BA47)</f>
        <v>#REF!</v>
      </c>
      <c r="BB48" s="97" t="e">
        <f>SUM(BB42:BB47)</f>
        <v>#REF!</v>
      </c>
    </row>
    <row r="49" spans="1:54">
      <c r="A49" t="s">
        <v>270</v>
      </c>
      <c r="B49" s="93"/>
      <c r="C49" s="10"/>
      <c r="D49" s="10"/>
      <c r="E49" s="10"/>
      <c r="F49" s="94"/>
      <c r="G49" s="93"/>
      <c r="H49" s="10"/>
      <c r="I49" s="10"/>
      <c r="J49" s="10"/>
      <c r="K49" s="10"/>
      <c r="L49" s="94"/>
      <c r="M49" s="93"/>
      <c r="N49" s="10"/>
      <c r="O49" s="10"/>
      <c r="P49" s="10"/>
      <c r="Q49" s="10"/>
      <c r="R49" s="94"/>
      <c r="S49" s="10"/>
      <c r="T49" s="93"/>
      <c r="U49" s="10"/>
      <c r="V49" s="10"/>
      <c r="W49" s="10"/>
      <c r="X49" s="94"/>
      <c r="Y49" s="93"/>
      <c r="Z49" s="10"/>
      <c r="AA49" s="10"/>
      <c r="AB49" s="10"/>
      <c r="AC49" s="10"/>
      <c r="AD49" s="94"/>
      <c r="AE49" s="93"/>
      <c r="AF49" s="10"/>
      <c r="AG49" s="10"/>
      <c r="AH49" s="10"/>
      <c r="AI49" s="10"/>
      <c r="AJ49" s="94"/>
      <c r="AK49" s="10"/>
      <c r="AL49" s="93"/>
      <c r="AM49" s="10"/>
      <c r="AN49" s="10"/>
      <c r="AO49" s="10"/>
      <c r="AP49" s="94"/>
      <c r="AQ49" s="93"/>
      <c r="AR49" s="10"/>
      <c r="AS49" s="10"/>
      <c r="AT49" s="10"/>
      <c r="AU49" s="10"/>
      <c r="AV49" s="94"/>
      <c r="AW49" s="93"/>
      <c r="AX49" s="10"/>
      <c r="AY49" s="10"/>
      <c r="AZ49" s="10"/>
      <c r="BA49" s="10"/>
      <c r="BB49" s="94"/>
    </row>
    <row r="50" spans="1:54">
      <c r="A50" s="89" t="s">
        <v>271</v>
      </c>
      <c r="B50" s="93"/>
      <c r="C50" s="10"/>
      <c r="D50" s="10"/>
      <c r="E50" s="10">
        <v>0</v>
      </c>
      <c r="F50" s="94">
        <v>0</v>
      </c>
      <c r="G50" s="93"/>
      <c r="H50" s="10"/>
      <c r="I50" s="10"/>
      <c r="J50" s="10"/>
      <c r="K50" s="10"/>
      <c r="L50" s="94"/>
      <c r="M50" s="93"/>
      <c r="N50" s="10"/>
      <c r="O50" s="10"/>
      <c r="P50" s="10"/>
      <c r="Q50" s="10"/>
      <c r="R50" s="94"/>
      <c r="S50" s="10"/>
      <c r="T50" s="93"/>
      <c r="U50" s="10"/>
      <c r="V50" s="10"/>
      <c r="W50" s="10">
        <f>V50</f>
        <v>0</v>
      </c>
      <c r="X50" s="94">
        <f>SUM(W50:W50)</f>
        <v>0</v>
      </c>
      <c r="Y50" s="93"/>
      <c r="Z50" s="10"/>
      <c r="AA50" s="10"/>
      <c r="AB50" s="10"/>
      <c r="AC50" s="10"/>
      <c r="AD50" s="94"/>
      <c r="AE50" s="93"/>
      <c r="AF50" s="10"/>
      <c r="AG50" s="10"/>
      <c r="AH50" s="10"/>
      <c r="AI50" s="10"/>
      <c r="AJ50" s="94"/>
      <c r="AK50" s="10"/>
      <c r="AL50" s="93"/>
      <c r="AM50" s="10"/>
      <c r="AN50" s="10"/>
      <c r="AO50" s="10">
        <f>E50+W50</f>
        <v>0</v>
      </c>
      <c r="AP50" s="94">
        <f>SUM(AO50:AO50)</f>
        <v>0</v>
      </c>
      <c r="AQ50" s="93"/>
      <c r="AR50" s="10"/>
      <c r="AS50" s="10"/>
      <c r="AT50" s="10"/>
      <c r="AU50" s="10"/>
      <c r="AV50" s="94"/>
      <c r="AW50" s="93"/>
      <c r="AX50" s="10"/>
      <c r="AY50" s="10"/>
      <c r="AZ50" s="10"/>
      <c r="BA50" s="10"/>
      <c r="BB50" s="94"/>
    </row>
    <row r="51" spans="1:54">
      <c r="A51" t="s">
        <v>272</v>
      </c>
      <c r="B51" s="93"/>
      <c r="C51" s="10"/>
      <c r="D51" s="10"/>
      <c r="E51" s="10"/>
      <c r="F51" s="94"/>
      <c r="G51" s="93"/>
      <c r="H51" s="10"/>
      <c r="I51" s="10"/>
      <c r="J51" s="10"/>
      <c r="K51" s="10"/>
      <c r="L51" s="94"/>
      <c r="M51" s="93"/>
      <c r="N51" s="10"/>
      <c r="O51" s="10"/>
      <c r="P51" s="10"/>
      <c r="Q51" s="10"/>
      <c r="R51" s="94"/>
      <c r="S51" s="10"/>
      <c r="T51" s="93"/>
      <c r="U51" s="10"/>
      <c r="V51" s="10"/>
      <c r="W51" s="10"/>
      <c r="X51" s="94"/>
      <c r="Y51" s="93"/>
      <c r="Z51" s="10"/>
      <c r="AA51" s="10"/>
      <c r="AB51" s="10"/>
      <c r="AC51" s="10"/>
      <c r="AD51" s="94"/>
      <c r="AE51" s="93"/>
      <c r="AF51" s="10"/>
      <c r="AG51" s="10"/>
      <c r="AH51" s="10"/>
      <c r="AI51" s="10"/>
      <c r="AJ51" s="94"/>
      <c r="AK51" s="10"/>
      <c r="AL51" s="93"/>
      <c r="AM51" s="10"/>
      <c r="AN51" s="10"/>
      <c r="AO51" s="10"/>
      <c r="AP51" s="94"/>
      <c r="AQ51" s="93"/>
      <c r="AR51" s="10"/>
      <c r="AS51" s="10"/>
      <c r="AT51" s="10"/>
      <c r="AU51" s="10"/>
      <c r="AV51" s="94"/>
      <c r="AW51" s="93"/>
      <c r="AX51" s="10"/>
      <c r="AY51" s="10"/>
      <c r="AZ51" s="10"/>
      <c r="BA51" s="10"/>
      <c r="BB51" s="94"/>
    </row>
    <row r="52" spans="1:54">
      <c r="A52" s="89"/>
      <c r="B52" s="93"/>
      <c r="C52" s="10"/>
      <c r="D52" s="10"/>
      <c r="E52" s="10">
        <v>0</v>
      </c>
      <c r="F52" s="94">
        <v>0</v>
      </c>
      <c r="G52" s="93"/>
      <c r="H52" s="10"/>
      <c r="I52" s="10"/>
      <c r="J52" s="10"/>
      <c r="K52" s="10"/>
      <c r="L52" s="94"/>
      <c r="M52" s="93"/>
      <c r="N52" s="10"/>
      <c r="O52" s="10"/>
      <c r="P52" s="10">
        <f>J52-E52</f>
        <v>0</v>
      </c>
      <c r="Q52" s="10" t="e">
        <f>K52-#REF!</f>
        <v>#REF!</v>
      </c>
      <c r="R52" s="94" t="e">
        <f>SUM(P52:Q52)</f>
        <v>#REF!</v>
      </c>
      <c r="S52" s="10"/>
      <c r="T52" s="93"/>
      <c r="U52" s="10"/>
      <c r="V52" s="10"/>
      <c r="W52" s="10"/>
      <c r="X52" s="94">
        <f>SUM(W52:W52)</f>
        <v>0</v>
      </c>
      <c r="Y52" s="93"/>
      <c r="Z52" s="10"/>
      <c r="AA52" s="10"/>
      <c r="AB52" s="10"/>
      <c r="AC52" s="10">
        <v>10000</v>
      </c>
      <c r="AD52" s="94">
        <f>SUM(AB52:AC52)</f>
        <v>10000</v>
      </c>
      <c r="AE52" s="93"/>
      <c r="AF52" s="10"/>
      <c r="AG52" s="10"/>
      <c r="AH52" s="10">
        <f>AB52-W52</f>
        <v>0</v>
      </c>
      <c r="AI52" s="10" t="e">
        <f>AC52-#REF!</f>
        <v>#REF!</v>
      </c>
      <c r="AJ52" s="94" t="e">
        <f>SUM(AH52:AI52)</f>
        <v>#REF!</v>
      </c>
      <c r="AK52" s="10"/>
      <c r="AL52" s="93"/>
      <c r="AM52" s="10"/>
      <c r="AN52" s="10"/>
      <c r="AO52" s="10">
        <f>E52+W52</f>
        <v>0</v>
      </c>
      <c r="AP52" s="94">
        <f>SUM(AO52:AO52)</f>
        <v>0</v>
      </c>
      <c r="AQ52" s="93"/>
      <c r="AR52" s="10"/>
      <c r="AS52" s="10"/>
      <c r="AT52" s="10">
        <f>J52+AB52</f>
        <v>0</v>
      </c>
      <c r="AU52" s="10">
        <f>K52+AC52</f>
        <v>10000</v>
      </c>
      <c r="AV52" s="94">
        <f>SUM(AT52:AU52)</f>
        <v>10000</v>
      </c>
      <c r="AW52" s="93"/>
      <c r="AX52" s="10"/>
      <c r="AY52" s="10"/>
      <c r="AZ52" s="10">
        <f>AT52-AO52</f>
        <v>0</v>
      </c>
      <c r="BA52" s="10" t="e">
        <f>AU52-#REF!</f>
        <v>#REF!</v>
      </c>
      <c r="BB52" s="94" t="e">
        <f>SUM(AZ52:BA52)</f>
        <v>#REF!</v>
      </c>
    </row>
    <row r="53" spans="1:54" ht="14.65" thickBot="1">
      <c r="B53" s="93"/>
      <c r="C53" s="10"/>
      <c r="D53" s="10"/>
      <c r="E53" s="87">
        <v>223327.07</v>
      </c>
      <c r="F53" s="96">
        <v>223327.07</v>
      </c>
      <c r="G53" s="93"/>
      <c r="H53" s="10"/>
      <c r="I53" s="10"/>
      <c r="J53" s="87">
        <f>SUM(J48:J52)</f>
        <v>0</v>
      </c>
      <c r="K53" s="87">
        <f>SUM(K48:K52)</f>
        <v>0</v>
      </c>
      <c r="L53" s="96">
        <f>SUM(L48:L52)</f>
        <v>0</v>
      </c>
      <c r="M53" s="93"/>
      <c r="N53" s="10"/>
      <c r="O53" s="10"/>
      <c r="P53" s="87">
        <f>SUM(P48:P52)</f>
        <v>-1163.5999999999999</v>
      </c>
      <c r="Q53" s="87" t="e">
        <f>SUM(Q48:Q52)</f>
        <v>#REF!</v>
      </c>
      <c r="R53" s="96" t="e">
        <f>SUM(R48:R52)</f>
        <v>#REF!</v>
      </c>
      <c r="S53" s="10"/>
      <c r="T53" s="93"/>
      <c r="U53" s="10"/>
      <c r="V53" s="10"/>
      <c r="W53" s="87">
        <f>SUM(W48:W52)</f>
        <v>-10370.109999999975</v>
      </c>
      <c r="X53" s="96">
        <f>SUM(X48:X52)</f>
        <v>-10370.109999999975</v>
      </c>
      <c r="Y53" s="93"/>
      <c r="Z53" s="10"/>
      <c r="AA53" s="10"/>
      <c r="AB53" s="87">
        <f>SUM(AB48:AB52)</f>
        <v>100513.91999999998</v>
      </c>
      <c r="AC53" s="87">
        <f>SUM(AC48:AC52)</f>
        <v>-19177.29</v>
      </c>
      <c r="AD53" s="96">
        <f>SUM(AD48:AD52)</f>
        <v>81336.629999999976</v>
      </c>
      <c r="AE53" s="93"/>
      <c r="AF53" s="10"/>
      <c r="AG53" s="10"/>
      <c r="AH53" s="87">
        <f>SUM(AH48:AH52)</f>
        <v>111143.66999999995</v>
      </c>
      <c r="AI53" s="87" t="e">
        <f>SUM(AI48:AI52)</f>
        <v>#REF!</v>
      </c>
      <c r="AJ53" s="96" t="e">
        <f>SUM(AJ48:AJ52)</f>
        <v>#REF!</v>
      </c>
      <c r="AK53" s="10"/>
      <c r="AL53" s="93"/>
      <c r="AM53" s="10"/>
      <c r="AN53" s="10"/>
      <c r="AO53" s="87">
        <f>SUM(AO48:AO52)</f>
        <v>212956.96000000002</v>
      </c>
      <c r="AP53" s="96">
        <f>SUM(AP48:AP52)</f>
        <v>212956.96000000002</v>
      </c>
      <c r="AQ53" s="93"/>
      <c r="AR53" s="10"/>
      <c r="AS53" s="10"/>
      <c r="AT53" s="87">
        <f>SUM(AT48:AT52)</f>
        <v>100513.91999999998</v>
      </c>
      <c r="AU53" s="87">
        <f>SUM(AU48:AU52)</f>
        <v>-19177.29</v>
      </c>
      <c r="AV53" s="96">
        <f>SUM(AV48:AV52)</f>
        <v>81336.629999999976</v>
      </c>
      <c r="AW53" s="93"/>
      <c r="AX53" s="10"/>
      <c r="AY53" s="10"/>
      <c r="AZ53" s="87">
        <f>SUM(AZ48:AZ52)</f>
        <v>-60255.610000000037</v>
      </c>
      <c r="BA53" s="87" t="e">
        <f>SUM(BA48:BA52)</f>
        <v>#REF!</v>
      </c>
      <c r="BB53" s="96" t="e">
        <f>SUM(BB48:BB52)</f>
        <v>#REF!</v>
      </c>
    </row>
    <row r="54" spans="1:54" ht="14.65" thickBot="1">
      <c r="A54" t="s">
        <v>273</v>
      </c>
      <c r="B54" s="98"/>
      <c r="C54" s="99"/>
      <c r="D54" s="99"/>
      <c r="E54" s="99">
        <v>0</v>
      </c>
      <c r="F54" s="100">
        <v>0</v>
      </c>
      <c r="G54" s="98"/>
      <c r="H54" s="99"/>
      <c r="I54" s="99"/>
      <c r="J54" s="99">
        <f>J34-J53</f>
        <v>0</v>
      </c>
      <c r="K54" s="99">
        <f>K34-K53</f>
        <v>0</v>
      </c>
      <c r="L54" s="100">
        <f>L34-L53</f>
        <v>0</v>
      </c>
      <c r="M54" s="98"/>
      <c r="N54" s="99"/>
      <c r="O54" s="99"/>
      <c r="P54" s="99">
        <f>P34-P53</f>
        <v>1163.5999999999999</v>
      </c>
      <c r="Q54" s="99" t="e">
        <f>Q34-Q53</f>
        <v>#REF!</v>
      </c>
      <c r="R54" s="100" t="e">
        <f>R34-R53</f>
        <v>#REF!</v>
      </c>
      <c r="S54" s="10"/>
      <c r="T54" s="98"/>
      <c r="U54" s="99"/>
      <c r="V54" s="140"/>
      <c r="W54" s="99">
        <f>W34-W53</f>
        <v>-2.5465851649641991E-11</v>
      </c>
      <c r="X54" s="100">
        <f>X34-X53</f>
        <v>-2.5465851649641991E-11</v>
      </c>
      <c r="Y54" s="98"/>
      <c r="Z54" s="99"/>
      <c r="AA54" s="99"/>
      <c r="AB54" s="99">
        <f>AB34-AB53</f>
        <v>-1789.7199999999866</v>
      </c>
      <c r="AC54" s="99">
        <f>AC34-AC53</f>
        <v>19177.29</v>
      </c>
      <c r="AD54" s="100">
        <f>AD34-AD53</f>
        <v>17387.570000000022</v>
      </c>
      <c r="AE54" s="98"/>
      <c r="AF54" s="99"/>
      <c r="AG54" s="99"/>
      <c r="AH54" s="99">
        <f>AH34-AH53</f>
        <v>2985.1000000000495</v>
      </c>
      <c r="AI54" s="99" t="e">
        <f>AI34-AI53</f>
        <v>#REF!</v>
      </c>
      <c r="AJ54" s="100" t="e">
        <f>AJ34-AJ53</f>
        <v>#REF!</v>
      </c>
      <c r="AK54" s="10"/>
      <c r="AL54" s="98"/>
      <c r="AM54" s="99"/>
      <c r="AN54" s="99"/>
      <c r="AO54" s="99">
        <f>AO34-AO53</f>
        <v>0</v>
      </c>
      <c r="AP54" s="100">
        <f>AP34-AP53</f>
        <v>0</v>
      </c>
      <c r="AQ54" s="98"/>
      <c r="AR54" s="99"/>
      <c r="AS54" s="99"/>
      <c r="AT54" s="99">
        <f>AT34-AT53</f>
        <v>-1789.7199999999866</v>
      </c>
      <c r="AU54" s="99">
        <f>AU34-AU53</f>
        <v>19177.29</v>
      </c>
      <c r="AV54" s="100">
        <f>AV34-AV53</f>
        <v>17387.570000000022</v>
      </c>
      <c r="AW54" s="98"/>
      <c r="AX54" s="99"/>
      <c r="AY54" s="99"/>
      <c r="AZ54" s="99">
        <f>AZ34-AZ53</f>
        <v>-28070.359999999979</v>
      </c>
      <c r="BA54" s="99" t="e">
        <f>BA34-BA53</f>
        <v>#REF!</v>
      </c>
      <c r="BB54" s="100" t="e">
        <f>BB34-BB53</f>
        <v>#REF!</v>
      </c>
    </row>
    <row r="55" spans="1:54">
      <c r="G55" s="10"/>
      <c r="H55" s="10"/>
      <c r="I55" s="10"/>
      <c r="M55" s="10"/>
      <c r="N55" s="10"/>
      <c r="O55" s="10"/>
      <c r="Y55" s="10"/>
      <c r="Z55" s="10"/>
      <c r="AA55" s="10"/>
      <c r="AB55" s="10"/>
      <c r="AC55" s="10"/>
      <c r="AD55" s="10"/>
      <c r="AE55" s="10"/>
      <c r="AF55" s="10"/>
      <c r="AG55" s="10"/>
      <c r="AH55" s="10"/>
      <c r="AI55" s="10"/>
      <c r="AJ55" s="10"/>
      <c r="AQ55" s="10"/>
      <c r="AR55" s="10"/>
      <c r="AS55" s="10"/>
      <c r="AT55" s="10"/>
      <c r="AU55" s="10"/>
      <c r="AV55" s="10"/>
      <c r="AW55" s="10"/>
      <c r="AX55" s="10"/>
      <c r="AY55" s="10"/>
      <c r="AZ55" s="10"/>
      <c r="BA55" s="10"/>
      <c r="BB55" s="10"/>
    </row>
  </sheetData>
  <mergeCells count="9">
    <mergeCell ref="AE4:AJ4"/>
    <mergeCell ref="AL4:AP4"/>
    <mergeCell ref="AQ4:AV4"/>
    <mergeCell ref="AW4:BB4"/>
    <mergeCell ref="B4:F4"/>
    <mergeCell ref="G4:L4"/>
    <mergeCell ref="M4:R4"/>
    <mergeCell ref="T4:X4"/>
    <mergeCell ref="Y4:AD4"/>
  </mergeCells>
  <pageMargins left="0.23622047244094491" right="0.23622047244094491" top="0.74803149606299213" bottom="0.74803149606299213" header="0.31496062992125984" footer="0.31496062992125984"/>
  <pageSetup paperSize="9" scale="61" orientation="landscape" verticalDpi="300" r:id="rId1"/>
  <headerFooter>
    <oddHeader>&amp;A</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F37"/>
  <sheetViews>
    <sheetView workbookViewId="0">
      <pane ySplit="2" topLeftCell="A3" activePane="bottomLeft" state="frozen"/>
      <selection pane="bottomLeft" activeCell="D40" sqref="D40"/>
    </sheetView>
  </sheetViews>
  <sheetFormatPr defaultRowHeight="14.25"/>
  <cols>
    <col min="1" max="1" width="10.5703125" bestFit="1" customWidth="1"/>
    <col min="2" max="2" width="10.5703125" customWidth="1"/>
    <col min="3" max="3" width="18.5703125" bestFit="1" customWidth="1"/>
    <col min="4" max="5" width="9" style="10"/>
  </cols>
  <sheetData>
    <row r="2" spans="1:6">
      <c r="D2" s="103" t="s">
        <v>274</v>
      </c>
      <c r="E2" s="103" t="s">
        <v>275</v>
      </c>
    </row>
    <row r="3" spans="1:6">
      <c r="C3" s="39" t="s">
        <v>276</v>
      </c>
    </row>
    <row r="4" spans="1:6">
      <c r="A4" s="102">
        <v>42556</v>
      </c>
      <c r="B4">
        <v>1011624</v>
      </c>
      <c r="C4" t="s">
        <v>277</v>
      </c>
      <c r="E4" s="10">
        <v>25</v>
      </c>
    </row>
    <row r="6" spans="1:6">
      <c r="D6" s="105">
        <f>SUBTOTAL(9,D4:D5)</f>
        <v>0</v>
      </c>
      <c r="E6" s="105">
        <f>SUBTOTAL(9,E4:E5)</f>
        <v>25</v>
      </c>
      <c r="F6" s="104">
        <f>E6-D6</f>
        <v>25</v>
      </c>
    </row>
    <row r="7" spans="1:6">
      <c r="C7" s="39" t="s">
        <v>278</v>
      </c>
    </row>
    <row r="8" spans="1:6">
      <c r="A8" s="102">
        <v>42556</v>
      </c>
      <c r="B8">
        <v>1013377</v>
      </c>
      <c r="C8" t="s">
        <v>279</v>
      </c>
      <c r="E8" s="10">
        <v>25</v>
      </c>
    </row>
    <row r="9" spans="1:6">
      <c r="A9" s="102">
        <v>42556</v>
      </c>
      <c r="B9">
        <v>1013377</v>
      </c>
      <c r="C9" t="s">
        <v>279</v>
      </c>
      <c r="E9" s="10">
        <v>110</v>
      </c>
    </row>
    <row r="11" spans="1:6">
      <c r="D11" s="105">
        <f>SUBTOTAL(9,D8:D10)</f>
        <v>0</v>
      </c>
      <c r="E11" s="105">
        <f>SUBTOTAL(9,E8:E10)</f>
        <v>135</v>
      </c>
      <c r="F11" s="104">
        <f>E11-D11</f>
        <v>135</v>
      </c>
    </row>
    <row r="12" spans="1:6">
      <c r="C12" s="39" t="s">
        <v>280</v>
      </c>
    </row>
    <row r="13" spans="1:6">
      <c r="A13" s="102">
        <v>42556</v>
      </c>
      <c r="B13">
        <v>1011632</v>
      </c>
      <c r="C13" t="s">
        <v>281</v>
      </c>
      <c r="D13" s="10">
        <v>1481</v>
      </c>
    </row>
    <row r="15" spans="1:6">
      <c r="A15" s="102">
        <v>42646</v>
      </c>
      <c r="B15">
        <v>1013091</v>
      </c>
      <c r="C15" t="s">
        <v>281</v>
      </c>
      <c r="D15" s="10">
        <v>320</v>
      </c>
    </row>
    <row r="17" spans="1:6">
      <c r="D17" s="105">
        <f>SUBTOTAL(9,D13:D16)</f>
        <v>1801</v>
      </c>
      <c r="E17" s="105">
        <f>SUBTOTAL(9,E13:E16)</f>
        <v>0</v>
      </c>
      <c r="F17" s="104">
        <f>E17-D17</f>
        <v>-1801</v>
      </c>
    </row>
    <row r="19" spans="1:6" s="39" customFormat="1" ht="14.65" thickBot="1">
      <c r="C19" s="106" t="s">
        <v>282</v>
      </c>
      <c r="D19" s="11">
        <f>SUBTOTAL(9,D4:D18)</f>
        <v>1801</v>
      </c>
      <c r="E19" s="11">
        <f>SUBTOTAL(9,E4:E18)</f>
        <v>160</v>
      </c>
      <c r="F19" s="104">
        <f>E19-D19</f>
        <v>-1641</v>
      </c>
    </row>
    <row r="21" spans="1:6">
      <c r="C21" s="39" t="s">
        <v>283</v>
      </c>
    </row>
    <row r="22" spans="1:6">
      <c r="A22" s="102">
        <v>42535</v>
      </c>
      <c r="B22">
        <v>1012299</v>
      </c>
      <c r="C22" t="s">
        <v>14</v>
      </c>
      <c r="E22" s="10">
        <v>157.5</v>
      </c>
    </row>
    <row r="24" spans="1:6">
      <c r="D24" s="105">
        <f>SUBTOTAL(9,D22:D23)</f>
        <v>0</v>
      </c>
      <c r="E24" s="105">
        <f>SUBTOTAL(9,E22:E23)</f>
        <v>157.5</v>
      </c>
      <c r="F24" s="104">
        <f>D24-E24</f>
        <v>-157.5</v>
      </c>
    </row>
    <row r="25" spans="1:6">
      <c r="C25" s="39" t="s">
        <v>284</v>
      </c>
    </row>
    <row r="26" spans="1:6">
      <c r="A26" s="102">
        <v>42388</v>
      </c>
      <c r="B26">
        <v>1011624</v>
      </c>
      <c r="C26" t="s">
        <v>277</v>
      </c>
      <c r="D26" s="10">
        <v>25</v>
      </c>
    </row>
    <row r="27" spans="1:6">
      <c r="A27" s="102">
        <v>42388</v>
      </c>
      <c r="B27">
        <v>1011632</v>
      </c>
      <c r="C27" t="s">
        <v>285</v>
      </c>
      <c r="E27" s="10">
        <v>1481</v>
      </c>
    </row>
    <row r="29" spans="1:6">
      <c r="A29" s="102">
        <v>42535</v>
      </c>
      <c r="B29">
        <v>1012299</v>
      </c>
      <c r="C29" t="s">
        <v>14</v>
      </c>
      <c r="D29" s="10">
        <v>157.5</v>
      </c>
    </row>
    <row r="31" spans="1:6">
      <c r="A31" s="102">
        <v>42556</v>
      </c>
      <c r="B31">
        <v>1013377</v>
      </c>
      <c r="C31" t="s">
        <v>279</v>
      </c>
      <c r="D31" s="10">
        <v>135</v>
      </c>
    </row>
    <row r="33" spans="1:6">
      <c r="A33" s="102">
        <v>42646</v>
      </c>
      <c r="B33">
        <v>1013091</v>
      </c>
      <c r="C33" t="s">
        <v>281</v>
      </c>
      <c r="E33" s="10">
        <v>320</v>
      </c>
    </row>
    <row r="35" spans="1:6">
      <c r="D35" s="105">
        <f>SUBTOTAL(9,D26:D34)</f>
        <v>317.5</v>
      </c>
      <c r="E35" s="105">
        <f>SUBTOTAL(9,E26:E34)</f>
        <v>1801</v>
      </c>
      <c r="F35" s="104">
        <f>D35-E35</f>
        <v>-1483.5</v>
      </c>
    </row>
    <row r="37" spans="1:6" s="39" customFormat="1" ht="14.65" thickBot="1">
      <c r="C37" s="106" t="s">
        <v>286</v>
      </c>
      <c r="D37" s="11">
        <f>SUBTOTAL(9,D22:D36)</f>
        <v>317.5</v>
      </c>
      <c r="E37" s="11">
        <f>SUBTOTAL(9,E22:E36)</f>
        <v>1958.5</v>
      </c>
      <c r="F37" s="104">
        <f>D37-E37</f>
        <v>-1641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68"/>
  <sheetViews>
    <sheetView workbookViewId="0">
      <pane xSplit="2" ySplit="2" topLeftCell="F3" activePane="bottomRight" state="frozen"/>
      <selection pane="bottomRight" activeCell="U9" sqref="U9"/>
      <selection pane="bottomLeft" activeCell="A2" sqref="A2"/>
      <selection pane="topRight" activeCell="C1" sqref="C1"/>
    </sheetView>
  </sheetViews>
  <sheetFormatPr defaultRowHeight="14.25"/>
  <cols>
    <col min="1" max="1" width="8.42578125" bestFit="1" customWidth="1"/>
    <col min="2" max="2" width="39" bestFit="1" customWidth="1"/>
    <col min="3" max="3" width="7.42578125" bestFit="1" customWidth="1"/>
    <col min="4" max="4" width="11.28515625" bestFit="1" customWidth="1"/>
    <col min="5" max="6" width="10.5703125" bestFit="1" customWidth="1"/>
    <col min="7" max="7" width="11.28515625" bestFit="1" customWidth="1"/>
    <col min="8" max="8" width="3" customWidth="1"/>
    <col min="9" max="9" width="11.28515625" bestFit="1" customWidth="1"/>
    <col min="10" max="11" width="10.5703125" customWidth="1"/>
    <col min="12" max="12" width="11.28515625" bestFit="1" customWidth="1"/>
    <col min="13" max="13" width="3" customWidth="1"/>
    <col min="20" max="20" width="10.5703125" bestFit="1" customWidth="1"/>
    <col min="21" max="21" width="9" style="113"/>
  </cols>
  <sheetData>
    <row r="1" spans="1:22">
      <c r="D1" s="215" t="s">
        <v>287</v>
      </c>
      <c r="E1" s="215"/>
      <c r="F1" s="215"/>
      <c r="G1" s="215"/>
      <c r="I1" s="215" t="s">
        <v>288</v>
      </c>
      <c r="J1" s="215"/>
      <c r="K1" s="215"/>
      <c r="L1" s="215"/>
      <c r="N1" s="215" t="s">
        <v>36</v>
      </c>
      <c r="O1" s="215"/>
      <c r="P1" s="215"/>
      <c r="Q1" s="215"/>
    </row>
    <row r="2" spans="1:22">
      <c r="A2" s="107" t="s">
        <v>289</v>
      </c>
      <c r="B2" s="107" t="s">
        <v>290</v>
      </c>
      <c r="C2" s="107" t="s">
        <v>291</v>
      </c>
      <c r="D2" s="107" t="s">
        <v>292</v>
      </c>
      <c r="E2" s="107" t="s">
        <v>293</v>
      </c>
      <c r="F2" s="107" t="s">
        <v>294</v>
      </c>
      <c r="G2" s="107" t="s">
        <v>295</v>
      </c>
      <c r="I2" s="107" t="s">
        <v>292</v>
      </c>
      <c r="J2" s="107" t="s">
        <v>293</v>
      </c>
      <c r="K2" s="107" t="s">
        <v>294</v>
      </c>
      <c r="L2" s="107" t="s">
        <v>295</v>
      </c>
      <c r="N2" s="114" t="s">
        <v>292</v>
      </c>
      <c r="O2" s="114" t="s">
        <v>293</v>
      </c>
      <c r="P2" s="114" t="s">
        <v>294</v>
      </c>
      <c r="Q2" s="114" t="s">
        <v>295</v>
      </c>
    </row>
    <row r="3" spans="1:22">
      <c r="A3" s="107" t="s">
        <v>135</v>
      </c>
      <c r="B3" s="107" t="s">
        <v>296</v>
      </c>
      <c r="C3" s="107" t="s">
        <v>297</v>
      </c>
      <c r="D3" s="108">
        <v>0</v>
      </c>
      <c r="E3" s="108">
        <v>0</v>
      </c>
      <c r="F3" s="108">
        <v>68086</v>
      </c>
      <c r="G3" s="108">
        <f>D3+E3-F3</f>
        <v>-68086</v>
      </c>
      <c r="I3" s="108">
        <v>0</v>
      </c>
      <c r="J3" s="108">
        <v>0</v>
      </c>
      <c r="K3" s="108">
        <v>68661</v>
      </c>
      <c r="L3" s="108">
        <f>I3+J3-K3</f>
        <v>-68661</v>
      </c>
      <c r="N3" s="10">
        <f>I3-D3</f>
        <v>0</v>
      </c>
      <c r="O3" s="10">
        <f>J3-E3</f>
        <v>0</v>
      </c>
      <c r="P3" s="10">
        <f>K3-F3</f>
        <v>575</v>
      </c>
      <c r="Q3" s="113">
        <f>N3+O3-P3</f>
        <v>-575</v>
      </c>
      <c r="S3" t="s">
        <v>298</v>
      </c>
    </row>
    <row r="4" spans="1:22">
      <c r="A4" s="107" t="s">
        <v>136</v>
      </c>
      <c r="B4" s="107" t="s">
        <v>299</v>
      </c>
      <c r="C4" s="107" t="s">
        <v>297</v>
      </c>
      <c r="D4" s="108">
        <v>0</v>
      </c>
      <c r="E4" s="108">
        <v>0</v>
      </c>
      <c r="F4" s="108">
        <v>9790</v>
      </c>
      <c r="G4" s="108">
        <f t="shared" ref="G4:G66" si="0">D4+E4-F4</f>
        <v>-9790</v>
      </c>
      <c r="I4" s="108">
        <v>0</v>
      </c>
      <c r="J4" s="108">
        <v>0</v>
      </c>
      <c r="K4" s="108">
        <v>9790</v>
      </c>
      <c r="L4" s="108">
        <f t="shared" ref="L4:L25" si="1">I4+J4-K4</f>
        <v>-9790</v>
      </c>
      <c r="N4" s="10">
        <f t="shared" ref="N4:N52" si="2">I4-D4</f>
        <v>0</v>
      </c>
      <c r="O4" s="10">
        <f t="shared" ref="O4:O52" si="3">J4-E4</f>
        <v>0</v>
      </c>
      <c r="P4" s="10">
        <f t="shared" ref="P4:P52" si="4">K4-F4</f>
        <v>0</v>
      </c>
      <c r="Q4" s="113">
        <f t="shared" ref="Q4:Q52" si="5">N4+O4-P4</f>
        <v>0</v>
      </c>
      <c r="S4">
        <v>1012008</v>
      </c>
      <c r="T4" s="102">
        <v>42029</v>
      </c>
      <c r="U4" s="113">
        <v>-20</v>
      </c>
      <c r="V4" t="s">
        <v>300</v>
      </c>
    </row>
    <row r="5" spans="1:22">
      <c r="A5" s="107" t="s">
        <v>137</v>
      </c>
      <c r="B5" s="107" t="s">
        <v>301</v>
      </c>
      <c r="C5" s="107" t="s">
        <v>297</v>
      </c>
      <c r="D5" s="108">
        <v>0</v>
      </c>
      <c r="E5" s="108">
        <v>0</v>
      </c>
      <c r="F5" s="108">
        <v>10483.25</v>
      </c>
      <c r="G5" s="108">
        <f t="shared" si="0"/>
        <v>-10483.25</v>
      </c>
      <c r="I5" s="108">
        <v>0</v>
      </c>
      <c r="J5" s="108">
        <v>0</v>
      </c>
      <c r="K5" s="108">
        <v>10483.25</v>
      </c>
      <c r="L5" s="108">
        <f t="shared" si="1"/>
        <v>-10483.25</v>
      </c>
      <c r="N5" s="10">
        <f t="shared" si="2"/>
        <v>0</v>
      </c>
      <c r="O5" s="10">
        <f t="shared" si="3"/>
        <v>0</v>
      </c>
      <c r="P5" s="10">
        <f t="shared" si="4"/>
        <v>0</v>
      </c>
      <c r="Q5" s="113">
        <f t="shared" si="5"/>
        <v>0</v>
      </c>
      <c r="S5">
        <v>1012009</v>
      </c>
      <c r="T5" s="102">
        <v>42029</v>
      </c>
      <c r="U5" s="113">
        <v>-40</v>
      </c>
      <c r="V5" t="s">
        <v>300</v>
      </c>
    </row>
    <row r="6" spans="1:22">
      <c r="A6" s="107" t="s">
        <v>138</v>
      </c>
      <c r="B6" s="107" t="s">
        <v>302</v>
      </c>
      <c r="C6" s="107" t="s">
        <v>297</v>
      </c>
      <c r="D6" s="108">
        <v>0</v>
      </c>
      <c r="E6" s="108">
        <v>0</v>
      </c>
      <c r="F6" s="108">
        <v>11267.55</v>
      </c>
      <c r="G6" s="108">
        <f t="shared" si="0"/>
        <v>-11267.55</v>
      </c>
      <c r="I6" s="108">
        <v>0</v>
      </c>
      <c r="J6" s="108">
        <v>0</v>
      </c>
      <c r="K6" s="108">
        <v>11267.55</v>
      </c>
      <c r="L6" s="108">
        <f t="shared" si="1"/>
        <v>-11267.55</v>
      </c>
      <c r="N6" s="10">
        <f t="shared" si="2"/>
        <v>0</v>
      </c>
      <c r="O6" s="10">
        <f t="shared" si="3"/>
        <v>0</v>
      </c>
      <c r="P6" s="10">
        <f t="shared" si="4"/>
        <v>0</v>
      </c>
      <c r="Q6" s="113">
        <f t="shared" si="5"/>
        <v>0</v>
      </c>
      <c r="S6">
        <v>1012011</v>
      </c>
      <c r="T6" s="102">
        <v>42030</v>
      </c>
      <c r="U6" s="113">
        <v>-5</v>
      </c>
      <c r="V6" t="s">
        <v>300</v>
      </c>
    </row>
    <row r="7" spans="1:22">
      <c r="A7" s="107" t="s">
        <v>139</v>
      </c>
      <c r="B7" s="107" t="s">
        <v>303</v>
      </c>
      <c r="C7" s="107" t="s">
        <v>297</v>
      </c>
      <c r="D7" s="108">
        <v>0</v>
      </c>
      <c r="E7" s="108">
        <v>0</v>
      </c>
      <c r="F7" s="108">
        <v>9887.2000000000007</v>
      </c>
      <c r="G7" s="108">
        <f t="shared" si="0"/>
        <v>-9887.2000000000007</v>
      </c>
      <c r="I7" s="108">
        <v>0</v>
      </c>
      <c r="J7" s="108">
        <v>0</v>
      </c>
      <c r="K7" s="108">
        <v>9887.2000000000007</v>
      </c>
      <c r="L7" s="108">
        <f t="shared" si="1"/>
        <v>-9887.2000000000007</v>
      </c>
      <c r="N7" s="10">
        <f t="shared" si="2"/>
        <v>0</v>
      </c>
      <c r="O7" s="10">
        <f t="shared" si="3"/>
        <v>0</v>
      </c>
      <c r="P7" s="10">
        <f t="shared" si="4"/>
        <v>0</v>
      </c>
      <c r="Q7" s="113">
        <f t="shared" si="5"/>
        <v>0</v>
      </c>
      <c r="S7">
        <v>1012013</v>
      </c>
      <c r="T7" s="102">
        <v>42030</v>
      </c>
      <c r="U7" s="113">
        <v>-350</v>
      </c>
      <c r="V7" t="s">
        <v>300</v>
      </c>
    </row>
    <row r="8" spans="1:22">
      <c r="A8" s="107" t="s">
        <v>140</v>
      </c>
      <c r="B8" s="107" t="s">
        <v>304</v>
      </c>
      <c r="C8" s="107" t="s">
        <v>297</v>
      </c>
      <c r="D8" s="108">
        <v>0</v>
      </c>
      <c r="E8" s="108">
        <v>0</v>
      </c>
      <c r="F8" s="108">
        <v>855</v>
      </c>
      <c r="G8" s="108">
        <f t="shared" si="0"/>
        <v>-855</v>
      </c>
      <c r="I8" s="108">
        <v>0</v>
      </c>
      <c r="J8" s="108">
        <v>0</v>
      </c>
      <c r="K8" s="108">
        <v>855</v>
      </c>
      <c r="L8" s="108">
        <f t="shared" si="1"/>
        <v>-855</v>
      </c>
      <c r="N8" s="10">
        <f t="shared" si="2"/>
        <v>0</v>
      </c>
      <c r="O8" s="10">
        <f t="shared" si="3"/>
        <v>0</v>
      </c>
      <c r="P8" s="10">
        <f t="shared" si="4"/>
        <v>0</v>
      </c>
      <c r="Q8" s="113">
        <f t="shared" si="5"/>
        <v>0</v>
      </c>
      <c r="S8">
        <v>1012020</v>
      </c>
      <c r="T8" s="102">
        <v>42033</v>
      </c>
      <c r="U8" s="113">
        <v>-60</v>
      </c>
      <c r="V8" t="s">
        <v>300</v>
      </c>
    </row>
    <row r="9" spans="1:22">
      <c r="A9" s="107" t="s">
        <v>145</v>
      </c>
      <c r="B9" s="107" t="s">
        <v>305</v>
      </c>
      <c r="C9" s="107" t="s">
        <v>297</v>
      </c>
      <c r="D9" s="108">
        <v>0</v>
      </c>
      <c r="E9" s="108">
        <v>0</v>
      </c>
      <c r="F9" s="108">
        <v>23986.17</v>
      </c>
      <c r="G9" s="108">
        <f t="shared" si="0"/>
        <v>-23986.17</v>
      </c>
      <c r="I9" s="108">
        <v>0</v>
      </c>
      <c r="J9" s="108">
        <v>0</v>
      </c>
      <c r="K9" s="108">
        <v>23986.17</v>
      </c>
      <c r="L9" s="108">
        <f t="shared" si="1"/>
        <v>-23986.17</v>
      </c>
      <c r="N9" s="10">
        <f t="shared" si="2"/>
        <v>0</v>
      </c>
      <c r="O9" s="10">
        <f t="shared" si="3"/>
        <v>0</v>
      </c>
      <c r="P9" s="10">
        <f t="shared" si="4"/>
        <v>0</v>
      </c>
      <c r="Q9" s="113">
        <f t="shared" si="5"/>
        <v>0</v>
      </c>
      <c r="S9">
        <v>1012027</v>
      </c>
      <c r="T9" s="102">
        <v>42030</v>
      </c>
      <c r="U9" s="113">
        <v>-100</v>
      </c>
      <c r="V9" t="s">
        <v>300</v>
      </c>
    </row>
    <row r="10" spans="1:22">
      <c r="A10" s="107" t="s">
        <v>146</v>
      </c>
      <c r="B10" s="107" t="s">
        <v>60</v>
      </c>
      <c r="C10" s="107" t="s">
        <v>297</v>
      </c>
      <c r="D10" s="108">
        <v>0</v>
      </c>
      <c r="E10" s="108">
        <v>0</v>
      </c>
      <c r="F10" s="108">
        <v>60146.94</v>
      </c>
      <c r="G10" s="108">
        <f t="shared" si="0"/>
        <v>-60146.94</v>
      </c>
      <c r="I10" s="108">
        <v>0</v>
      </c>
      <c r="J10" s="108">
        <v>0</v>
      </c>
      <c r="K10" s="108">
        <v>60146.94</v>
      </c>
      <c r="L10" s="108">
        <f t="shared" si="1"/>
        <v>-60146.94</v>
      </c>
      <c r="N10" s="10">
        <f t="shared" si="2"/>
        <v>0</v>
      </c>
      <c r="O10" s="10">
        <f t="shared" si="3"/>
        <v>0</v>
      </c>
      <c r="P10" s="10">
        <f t="shared" si="4"/>
        <v>0</v>
      </c>
      <c r="Q10" s="113">
        <f t="shared" si="5"/>
        <v>0</v>
      </c>
    </row>
    <row r="11" spans="1:22">
      <c r="A11" s="109" t="s">
        <v>306</v>
      </c>
      <c r="B11" s="107" t="s">
        <v>307</v>
      </c>
      <c r="C11" s="107" t="s">
        <v>297</v>
      </c>
      <c r="D11" s="108">
        <v>0</v>
      </c>
      <c r="E11" s="108">
        <v>0</v>
      </c>
      <c r="F11" s="108">
        <v>340</v>
      </c>
      <c r="G11" s="108">
        <f t="shared" si="0"/>
        <v>-340</v>
      </c>
      <c r="I11" s="108">
        <v>0</v>
      </c>
      <c r="J11" s="108">
        <v>0</v>
      </c>
      <c r="K11" s="108">
        <v>340</v>
      </c>
      <c r="L11" s="108">
        <f t="shared" si="1"/>
        <v>-340</v>
      </c>
      <c r="N11" s="10">
        <f t="shared" si="2"/>
        <v>0</v>
      </c>
      <c r="O11" s="10">
        <f t="shared" si="3"/>
        <v>0</v>
      </c>
      <c r="P11" s="10">
        <f t="shared" si="4"/>
        <v>0</v>
      </c>
      <c r="Q11" s="113">
        <f t="shared" si="5"/>
        <v>0</v>
      </c>
    </row>
    <row r="12" spans="1:22">
      <c r="A12" s="107" t="s">
        <v>157</v>
      </c>
      <c r="B12" s="107" t="s">
        <v>80</v>
      </c>
      <c r="C12" s="107" t="s">
        <v>297</v>
      </c>
      <c r="D12" s="108">
        <v>0</v>
      </c>
      <c r="E12" s="108">
        <v>0</v>
      </c>
      <c r="F12" s="108">
        <v>590</v>
      </c>
      <c r="G12" s="108">
        <f t="shared" si="0"/>
        <v>-590</v>
      </c>
      <c r="I12" s="108">
        <v>0</v>
      </c>
      <c r="J12" s="108">
        <v>0</v>
      </c>
      <c r="K12" s="108">
        <v>890</v>
      </c>
      <c r="L12" s="108">
        <f t="shared" si="1"/>
        <v>-890</v>
      </c>
      <c r="N12" s="10">
        <f t="shared" si="2"/>
        <v>0</v>
      </c>
      <c r="O12" s="10">
        <f t="shared" si="3"/>
        <v>0</v>
      </c>
      <c r="P12" s="10">
        <f t="shared" si="4"/>
        <v>300</v>
      </c>
      <c r="Q12" s="113">
        <f t="shared" si="5"/>
        <v>-300</v>
      </c>
      <c r="S12">
        <v>1012016</v>
      </c>
      <c r="T12" s="102">
        <v>42032</v>
      </c>
      <c r="U12" s="113">
        <v>-300</v>
      </c>
      <c r="V12" t="s">
        <v>300</v>
      </c>
    </row>
    <row r="13" spans="1:22">
      <c r="A13" s="107" t="s">
        <v>308</v>
      </c>
      <c r="B13" s="107" t="s">
        <v>309</v>
      </c>
      <c r="C13" s="107" t="s">
        <v>297</v>
      </c>
      <c r="D13" s="108">
        <v>0</v>
      </c>
      <c r="E13" s="108">
        <v>0</v>
      </c>
      <c r="F13" s="108">
        <v>390</v>
      </c>
      <c r="G13" s="108">
        <f t="shared" si="0"/>
        <v>-390</v>
      </c>
      <c r="I13" s="108">
        <v>0</v>
      </c>
      <c r="J13" s="108">
        <v>0</v>
      </c>
      <c r="K13" s="108">
        <v>390</v>
      </c>
      <c r="L13" s="108">
        <f t="shared" si="1"/>
        <v>-390</v>
      </c>
      <c r="N13" s="10">
        <f t="shared" si="2"/>
        <v>0</v>
      </c>
      <c r="O13" s="10">
        <f t="shared" si="3"/>
        <v>0</v>
      </c>
      <c r="P13" s="10">
        <f t="shared" si="4"/>
        <v>0</v>
      </c>
      <c r="Q13" s="113">
        <f t="shared" si="5"/>
        <v>0</v>
      </c>
    </row>
    <row r="14" spans="1:22">
      <c r="A14" s="107" t="s">
        <v>149</v>
      </c>
      <c r="B14" s="107" t="s">
        <v>64</v>
      </c>
      <c r="C14" s="107" t="s">
        <v>297</v>
      </c>
      <c r="D14" s="108">
        <v>0</v>
      </c>
      <c r="E14" s="108">
        <v>0</v>
      </c>
      <c r="F14" s="108">
        <v>1730</v>
      </c>
      <c r="G14" s="108">
        <f t="shared" si="0"/>
        <v>-1730</v>
      </c>
      <c r="I14" s="108">
        <v>0</v>
      </c>
      <c r="J14" s="108">
        <v>0</v>
      </c>
      <c r="K14" s="108">
        <v>1730</v>
      </c>
      <c r="L14" s="108">
        <f t="shared" si="1"/>
        <v>-1730</v>
      </c>
      <c r="N14" s="10">
        <f t="shared" si="2"/>
        <v>0</v>
      </c>
      <c r="O14" s="10">
        <f t="shared" si="3"/>
        <v>0</v>
      </c>
      <c r="P14" s="10">
        <f t="shared" si="4"/>
        <v>0</v>
      </c>
      <c r="Q14" s="113">
        <f t="shared" si="5"/>
        <v>0</v>
      </c>
    </row>
    <row r="15" spans="1:22">
      <c r="A15" s="109" t="s">
        <v>310</v>
      </c>
      <c r="B15" s="107" t="s">
        <v>311</v>
      </c>
      <c r="C15" s="107" t="s">
        <v>297</v>
      </c>
      <c r="D15" s="108">
        <v>0</v>
      </c>
      <c r="E15" s="108">
        <v>0</v>
      </c>
      <c r="F15" s="108">
        <v>0</v>
      </c>
      <c r="G15" s="108">
        <f t="shared" si="0"/>
        <v>0</v>
      </c>
      <c r="I15" s="108">
        <v>0</v>
      </c>
      <c r="J15" s="108">
        <v>0</v>
      </c>
      <c r="K15" s="108">
        <v>144</v>
      </c>
      <c r="L15" s="108">
        <f t="shared" si="1"/>
        <v>-144</v>
      </c>
      <c r="N15" s="10">
        <f t="shared" si="2"/>
        <v>0</v>
      </c>
      <c r="O15" s="10">
        <f t="shared" si="3"/>
        <v>0</v>
      </c>
      <c r="P15" s="10">
        <f t="shared" si="4"/>
        <v>144</v>
      </c>
      <c r="Q15" s="113">
        <f t="shared" si="5"/>
        <v>-144</v>
      </c>
      <c r="S15">
        <v>1012014</v>
      </c>
      <c r="T15" s="102">
        <v>42030</v>
      </c>
      <c r="U15" s="113">
        <v>-144</v>
      </c>
      <c r="V15" t="s">
        <v>300</v>
      </c>
    </row>
    <row r="16" spans="1:22">
      <c r="A16" s="107" t="s">
        <v>151</v>
      </c>
      <c r="B16" s="107" t="s">
        <v>312</v>
      </c>
      <c r="C16" s="107" t="s">
        <v>297</v>
      </c>
      <c r="D16" s="108">
        <v>0</v>
      </c>
      <c r="E16" s="108">
        <v>0</v>
      </c>
      <c r="F16" s="108">
        <v>11981.5</v>
      </c>
      <c r="G16" s="108">
        <f t="shared" si="0"/>
        <v>-11981.5</v>
      </c>
      <c r="I16" s="108">
        <v>0</v>
      </c>
      <c r="J16" s="108">
        <v>0</v>
      </c>
      <c r="K16" s="108">
        <v>12246.65</v>
      </c>
      <c r="L16" s="108">
        <f t="shared" si="1"/>
        <v>-12246.65</v>
      </c>
      <c r="N16" s="10">
        <f t="shared" si="2"/>
        <v>0</v>
      </c>
      <c r="O16" s="10">
        <f t="shared" si="3"/>
        <v>0</v>
      </c>
      <c r="P16" s="10">
        <f t="shared" si="4"/>
        <v>265.14999999999964</v>
      </c>
      <c r="Q16" s="113">
        <f t="shared" si="5"/>
        <v>-265.14999999999964</v>
      </c>
      <c r="S16" t="s">
        <v>313</v>
      </c>
    </row>
    <row r="17" spans="1:22">
      <c r="A17" s="107" t="s">
        <v>314</v>
      </c>
      <c r="B17" s="107" t="s">
        <v>315</v>
      </c>
      <c r="C17" s="107" t="s">
        <v>297</v>
      </c>
      <c r="D17" s="108">
        <v>0</v>
      </c>
      <c r="E17" s="108">
        <v>0</v>
      </c>
      <c r="F17" s="108">
        <v>416.55</v>
      </c>
      <c r="G17" s="108">
        <f t="shared" si="0"/>
        <v>-416.55</v>
      </c>
      <c r="I17" s="108">
        <v>0</v>
      </c>
      <c r="J17" s="108">
        <v>0</v>
      </c>
      <c r="K17" s="108">
        <v>416.55</v>
      </c>
      <c r="L17" s="108">
        <f t="shared" si="1"/>
        <v>-416.55</v>
      </c>
      <c r="N17" s="10">
        <f t="shared" si="2"/>
        <v>0</v>
      </c>
      <c r="O17" s="10">
        <f t="shared" si="3"/>
        <v>0</v>
      </c>
      <c r="P17" s="10">
        <f t="shared" si="4"/>
        <v>0</v>
      </c>
      <c r="Q17" s="113">
        <f t="shared" si="5"/>
        <v>0</v>
      </c>
      <c r="S17">
        <v>1012012</v>
      </c>
      <c r="T17" s="102">
        <v>42030</v>
      </c>
      <c r="U17" s="113">
        <v>-101</v>
      </c>
      <c r="V17" t="s">
        <v>300</v>
      </c>
    </row>
    <row r="18" spans="1:22">
      <c r="A18" s="107" t="s">
        <v>150</v>
      </c>
      <c r="B18" s="107" t="s">
        <v>316</v>
      </c>
      <c r="C18" s="107" t="s">
        <v>297</v>
      </c>
      <c r="D18" s="108">
        <v>0</v>
      </c>
      <c r="E18" s="108">
        <v>0</v>
      </c>
      <c r="F18" s="108">
        <v>12304.84</v>
      </c>
      <c r="G18" s="108">
        <f t="shared" si="0"/>
        <v>-12304.84</v>
      </c>
      <c r="I18" s="108">
        <v>0</v>
      </c>
      <c r="J18" s="108">
        <v>0</v>
      </c>
      <c r="K18" s="108">
        <v>12304.84</v>
      </c>
      <c r="L18" s="108">
        <f t="shared" si="1"/>
        <v>-12304.84</v>
      </c>
      <c r="N18" s="10">
        <f t="shared" si="2"/>
        <v>0</v>
      </c>
      <c r="O18" s="10">
        <f t="shared" si="3"/>
        <v>0</v>
      </c>
      <c r="P18" s="10">
        <f t="shared" si="4"/>
        <v>0</v>
      </c>
      <c r="Q18" s="113">
        <f t="shared" si="5"/>
        <v>0</v>
      </c>
      <c r="S18">
        <v>1012015</v>
      </c>
      <c r="T18" s="102">
        <v>42031</v>
      </c>
      <c r="U18" s="113">
        <v>-164.15</v>
      </c>
      <c r="V18" t="s">
        <v>300</v>
      </c>
    </row>
    <row r="19" spans="1:22">
      <c r="A19" s="107" t="s">
        <v>317</v>
      </c>
      <c r="B19" s="107" t="s">
        <v>318</v>
      </c>
      <c r="C19" s="107" t="s">
        <v>297</v>
      </c>
      <c r="D19" s="108">
        <v>0</v>
      </c>
      <c r="E19" s="108">
        <v>0</v>
      </c>
      <c r="F19" s="108">
        <v>5.08</v>
      </c>
      <c r="G19" s="108">
        <f t="shared" si="0"/>
        <v>-5.08</v>
      </c>
      <c r="I19" s="108">
        <v>0</v>
      </c>
      <c r="J19" s="108">
        <v>0</v>
      </c>
      <c r="K19" s="108">
        <v>5.08</v>
      </c>
      <c r="L19" s="108">
        <f t="shared" si="1"/>
        <v>-5.08</v>
      </c>
      <c r="N19" s="10">
        <f t="shared" si="2"/>
        <v>0</v>
      </c>
      <c r="O19" s="10">
        <f t="shared" si="3"/>
        <v>0</v>
      </c>
      <c r="P19" s="10">
        <f t="shared" si="4"/>
        <v>0</v>
      </c>
      <c r="Q19" s="113">
        <f t="shared" si="5"/>
        <v>0</v>
      </c>
    </row>
    <row r="20" spans="1:22">
      <c r="A20" s="107" t="s">
        <v>319</v>
      </c>
      <c r="B20" s="107" t="s">
        <v>320</v>
      </c>
      <c r="C20" s="107" t="s">
        <v>297</v>
      </c>
      <c r="D20" s="108">
        <v>0</v>
      </c>
      <c r="E20" s="108">
        <v>0</v>
      </c>
      <c r="F20" s="108">
        <v>276.01</v>
      </c>
      <c r="G20" s="108">
        <f t="shared" si="0"/>
        <v>-276.01</v>
      </c>
      <c r="I20" s="108">
        <v>0</v>
      </c>
      <c r="J20" s="108">
        <v>0</v>
      </c>
      <c r="K20" s="108">
        <v>276.01</v>
      </c>
      <c r="L20" s="108">
        <f t="shared" si="1"/>
        <v>-276.01</v>
      </c>
      <c r="N20" s="10">
        <f t="shared" si="2"/>
        <v>0</v>
      </c>
      <c r="O20" s="10">
        <f t="shared" si="3"/>
        <v>0</v>
      </c>
      <c r="P20" s="10">
        <f t="shared" si="4"/>
        <v>0</v>
      </c>
      <c r="Q20" s="113">
        <f t="shared" si="5"/>
        <v>0</v>
      </c>
    </row>
    <row r="21" spans="1:22">
      <c r="A21" s="107" t="s">
        <v>154</v>
      </c>
      <c r="B21" s="107" t="s">
        <v>321</v>
      </c>
      <c r="C21" s="107" t="s">
        <v>297</v>
      </c>
      <c r="D21" s="108">
        <v>0</v>
      </c>
      <c r="E21" s="108">
        <v>0</v>
      </c>
      <c r="F21" s="108">
        <v>2252.5</v>
      </c>
      <c r="G21" s="108">
        <f t="shared" si="0"/>
        <v>-2252.5</v>
      </c>
      <c r="I21" s="108">
        <v>0</v>
      </c>
      <c r="J21" s="108">
        <v>0</v>
      </c>
      <c r="K21" s="108">
        <v>2252.5</v>
      </c>
      <c r="L21" s="108">
        <f t="shared" si="1"/>
        <v>-2252.5</v>
      </c>
      <c r="N21" s="10">
        <f t="shared" si="2"/>
        <v>0</v>
      </c>
      <c r="O21" s="10">
        <f t="shared" si="3"/>
        <v>0</v>
      </c>
      <c r="P21" s="10">
        <f t="shared" si="4"/>
        <v>0</v>
      </c>
      <c r="Q21" s="113">
        <f t="shared" si="5"/>
        <v>0</v>
      </c>
    </row>
    <row r="22" spans="1:22">
      <c r="A22" s="107" t="s">
        <v>155</v>
      </c>
      <c r="B22" s="107" t="s">
        <v>322</v>
      </c>
      <c r="C22" s="107" t="s">
        <v>297</v>
      </c>
      <c r="D22" s="108">
        <v>0</v>
      </c>
      <c r="E22" s="108">
        <v>0</v>
      </c>
      <c r="F22" s="108">
        <v>705.7</v>
      </c>
      <c r="G22" s="108">
        <f t="shared" si="0"/>
        <v>-705.7</v>
      </c>
      <c r="I22" s="108">
        <v>0</v>
      </c>
      <c r="J22" s="108">
        <v>0</v>
      </c>
      <c r="K22" s="108">
        <v>705.7</v>
      </c>
      <c r="L22" s="108">
        <f t="shared" si="1"/>
        <v>-705.7</v>
      </c>
      <c r="N22" s="10">
        <f t="shared" si="2"/>
        <v>0</v>
      </c>
      <c r="O22" s="10">
        <f t="shared" si="3"/>
        <v>0</v>
      </c>
      <c r="P22" s="10">
        <f t="shared" si="4"/>
        <v>0</v>
      </c>
      <c r="Q22" s="113">
        <f t="shared" si="5"/>
        <v>0</v>
      </c>
    </row>
    <row r="23" spans="1:22">
      <c r="A23" s="107" t="s">
        <v>156</v>
      </c>
      <c r="B23" s="107" t="s">
        <v>323</v>
      </c>
      <c r="C23" s="107" t="s">
        <v>297</v>
      </c>
      <c r="D23" s="108">
        <v>0</v>
      </c>
      <c r="E23" s="108">
        <v>0</v>
      </c>
      <c r="F23" s="108">
        <v>1847.78</v>
      </c>
      <c r="G23" s="108">
        <f t="shared" si="0"/>
        <v>-1847.78</v>
      </c>
      <c r="I23" s="108">
        <v>0</v>
      </c>
      <c r="J23" s="108">
        <v>0</v>
      </c>
      <c r="K23" s="108">
        <v>1847.78</v>
      </c>
      <c r="L23" s="108">
        <f t="shared" si="1"/>
        <v>-1847.78</v>
      </c>
      <c r="N23" s="10">
        <f t="shared" si="2"/>
        <v>0</v>
      </c>
      <c r="O23" s="10">
        <f t="shared" si="3"/>
        <v>0</v>
      </c>
      <c r="P23" s="10">
        <f t="shared" si="4"/>
        <v>0</v>
      </c>
      <c r="Q23" s="113">
        <f t="shared" si="5"/>
        <v>0</v>
      </c>
    </row>
    <row r="24" spans="1:22">
      <c r="A24" s="109" t="s">
        <v>324</v>
      </c>
      <c r="B24" s="107" t="s">
        <v>325</v>
      </c>
      <c r="C24" s="107" t="s">
        <v>297</v>
      </c>
      <c r="D24" s="108">
        <v>0</v>
      </c>
      <c r="E24" s="108">
        <v>0</v>
      </c>
      <c r="F24" s="108">
        <v>572.4</v>
      </c>
      <c r="G24" s="108">
        <f t="shared" si="0"/>
        <v>-572.4</v>
      </c>
      <c r="I24" s="108">
        <v>0</v>
      </c>
      <c r="J24" s="108">
        <v>0</v>
      </c>
      <c r="K24" s="108">
        <v>572.4</v>
      </c>
      <c r="L24" s="108">
        <f t="shared" si="1"/>
        <v>-572.4</v>
      </c>
      <c r="N24" s="10">
        <f t="shared" si="2"/>
        <v>0</v>
      </c>
      <c r="O24" s="10">
        <f t="shared" si="3"/>
        <v>0</v>
      </c>
      <c r="P24" s="10">
        <f t="shared" si="4"/>
        <v>0</v>
      </c>
      <c r="Q24" s="113">
        <f t="shared" si="5"/>
        <v>0</v>
      </c>
    </row>
    <row r="25" spans="1:22">
      <c r="A25" s="109" t="s">
        <v>326</v>
      </c>
      <c r="B25" s="107" t="s">
        <v>327</v>
      </c>
      <c r="C25" s="107" t="s">
        <v>297</v>
      </c>
      <c r="D25" s="108">
        <v>0</v>
      </c>
      <c r="E25" s="108">
        <v>0</v>
      </c>
      <c r="F25" s="108">
        <v>727</v>
      </c>
      <c r="G25" s="108">
        <f t="shared" si="0"/>
        <v>-727</v>
      </c>
      <c r="I25" s="108">
        <v>0</v>
      </c>
      <c r="J25" s="108">
        <v>0</v>
      </c>
      <c r="K25" s="108">
        <v>727</v>
      </c>
      <c r="L25" s="108">
        <f t="shared" si="1"/>
        <v>-727</v>
      </c>
      <c r="N25" s="10">
        <f t="shared" si="2"/>
        <v>0</v>
      </c>
      <c r="O25" s="10">
        <f t="shared" si="3"/>
        <v>0</v>
      </c>
      <c r="P25" s="10">
        <f t="shared" si="4"/>
        <v>0</v>
      </c>
      <c r="Q25" s="113">
        <f t="shared" si="5"/>
        <v>0</v>
      </c>
    </row>
    <row r="26" spans="1:22">
      <c r="A26" s="107" t="s">
        <v>162</v>
      </c>
      <c r="B26" s="107" t="s">
        <v>328</v>
      </c>
      <c r="C26" s="107" t="s">
        <v>329</v>
      </c>
      <c r="D26" s="108">
        <v>0</v>
      </c>
      <c r="E26" s="108">
        <v>105.95</v>
      </c>
      <c r="F26" s="108">
        <v>0</v>
      </c>
      <c r="G26" s="108">
        <f t="shared" si="0"/>
        <v>105.95</v>
      </c>
      <c r="I26" s="108">
        <v>0</v>
      </c>
      <c r="J26" s="108">
        <v>105.95</v>
      </c>
      <c r="K26" s="108">
        <v>0</v>
      </c>
      <c r="L26" s="108">
        <f t="shared" ref="L26:L52" si="6">I26+J26-K26</f>
        <v>105.95</v>
      </c>
      <c r="N26" s="10">
        <f t="shared" si="2"/>
        <v>0</v>
      </c>
      <c r="O26" s="10">
        <f t="shared" si="3"/>
        <v>0</v>
      </c>
      <c r="P26" s="10">
        <f t="shared" si="4"/>
        <v>0</v>
      </c>
      <c r="Q26" s="113">
        <f t="shared" si="5"/>
        <v>0</v>
      </c>
    </row>
    <row r="27" spans="1:22">
      <c r="A27" s="107" t="s">
        <v>163</v>
      </c>
      <c r="B27" s="107" t="s">
        <v>330</v>
      </c>
      <c r="C27" s="107" t="s">
        <v>329</v>
      </c>
      <c r="D27" s="108">
        <v>0</v>
      </c>
      <c r="E27" s="108">
        <v>67831</v>
      </c>
      <c r="F27" s="108">
        <v>0</v>
      </c>
      <c r="G27" s="108">
        <f t="shared" si="0"/>
        <v>67831</v>
      </c>
      <c r="I27" s="108">
        <v>0</v>
      </c>
      <c r="J27" s="108">
        <v>67831</v>
      </c>
      <c r="K27" s="108">
        <v>0</v>
      </c>
      <c r="L27" s="108">
        <f t="shared" si="6"/>
        <v>67831</v>
      </c>
      <c r="N27" s="10">
        <f t="shared" si="2"/>
        <v>0</v>
      </c>
      <c r="O27" s="10">
        <f t="shared" si="3"/>
        <v>0</v>
      </c>
      <c r="P27" s="10">
        <f t="shared" si="4"/>
        <v>0</v>
      </c>
      <c r="Q27" s="113">
        <f t="shared" si="5"/>
        <v>0</v>
      </c>
    </row>
    <row r="28" spans="1:22">
      <c r="A28" s="107" t="s">
        <v>165</v>
      </c>
      <c r="B28" s="107" t="s">
        <v>331</v>
      </c>
      <c r="C28" s="107" t="s">
        <v>329</v>
      </c>
      <c r="D28" s="108">
        <v>0</v>
      </c>
      <c r="E28" s="108">
        <v>1267</v>
      </c>
      <c r="F28" s="108">
        <v>0</v>
      </c>
      <c r="G28" s="108">
        <f t="shared" si="0"/>
        <v>1267</v>
      </c>
      <c r="I28" s="108">
        <v>0</v>
      </c>
      <c r="J28" s="108">
        <v>1267</v>
      </c>
      <c r="K28" s="108">
        <v>0</v>
      </c>
      <c r="L28" s="108">
        <f t="shared" si="6"/>
        <v>1267</v>
      </c>
      <c r="N28" s="10">
        <f t="shared" si="2"/>
        <v>0</v>
      </c>
      <c r="O28" s="10">
        <f t="shared" si="3"/>
        <v>0</v>
      </c>
      <c r="P28" s="10">
        <f t="shared" si="4"/>
        <v>0</v>
      </c>
      <c r="Q28" s="113">
        <f t="shared" si="5"/>
        <v>0</v>
      </c>
    </row>
    <row r="29" spans="1:22">
      <c r="A29" s="107" t="s">
        <v>168</v>
      </c>
      <c r="B29" s="107" t="s">
        <v>332</v>
      </c>
      <c r="C29" s="107" t="s">
        <v>329</v>
      </c>
      <c r="D29" s="108">
        <v>0</v>
      </c>
      <c r="E29" s="108">
        <v>966.75</v>
      </c>
      <c r="F29" s="108">
        <v>0</v>
      </c>
      <c r="G29" s="108">
        <f t="shared" si="0"/>
        <v>966.75</v>
      </c>
      <c r="I29" s="108">
        <v>0</v>
      </c>
      <c r="J29" s="108">
        <v>966.75</v>
      </c>
      <c r="K29" s="108">
        <v>0</v>
      </c>
      <c r="L29" s="108">
        <f t="shared" si="6"/>
        <v>966.75</v>
      </c>
      <c r="N29" s="10">
        <f t="shared" si="2"/>
        <v>0</v>
      </c>
      <c r="O29" s="10">
        <f t="shared" si="3"/>
        <v>0</v>
      </c>
      <c r="P29" s="10">
        <f t="shared" si="4"/>
        <v>0</v>
      </c>
      <c r="Q29" s="113">
        <f t="shared" si="5"/>
        <v>0</v>
      </c>
    </row>
    <row r="30" spans="1:22">
      <c r="A30" s="107" t="s">
        <v>192</v>
      </c>
      <c r="B30" s="107" t="s">
        <v>333</v>
      </c>
      <c r="C30" s="107" t="s">
        <v>329</v>
      </c>
      <c r="D30" s="108">
        <v>0</v>
      </c>
      <c r="E30" s="108">
        <v>2000</v>
      </c>
      <c r="F30" s="108">
        <v>0</v>
      </c>
      <c r="G30" s="108">
        <f t="shared" si="0"/>
        <v>2000</v>
      </c>
      <c r="I30" s="108">
        <v>0</v>
      </c>
      <c r="J30" s="108">
        <v>2000</v>
      </c>
      <c r="K30" s="108">
        <v>0</v>
      </c>
      <c r="L30" s="108">
        <f t="shared" si="6"/>
        <v>2000</v>
      </c>
      <c r="N30" s="10">
        <f t="shared" si="2"/>
        <v>0</v>
      </c>
      <c r="O30" s="10">
        <f t="shared" si="3"/>
        <v>0</v>
      </c>
      <c r="P30" s="10">
        <f t="shared" si="4"/>
        <v>0</v>
      </c>
      <c r="Q30" s="113">
        <f t="shared" si="5"/>
        <v>0</v>
      </c>
    </row>
    <row r="31" spans="1:22">
      <c r="A31" s="107" t="s">
        <v>172</v>
      </c>
      <c r="B31" s="107" t="s">
        <v>334</v>
      </c>
      <c r="C31" s="107" t="s">
        <v>329</v>
      </c>
      <c r="D31" s="108">
        <v>0</v>
      </c>
      <c r="E31" s="108">
        <v>3894.4</v>
      </c>
      <c r="F31" s="108">
        <v>0</v>
      </c>
      <c r="G31" s="108">
        <f t="shared" si="0"/>
        <v>3894.4</v>
      </c>
      <c r="I31" s="108">
        <v>0</v>
      </c>
      <c r="J31" s="108">
        <v>3894.4</v>
      </c>
      <c r="K31" s="108">
        <v>0</v>
      </c>
      <c r="L31" s="108">
        <f t="shared" si="6"/>
        <v>3894.4</v>
      </c>
      <c r="N31" s="10">
        <f t="shared" si="2"/>
        <v>0</v>
      </c>
      <c r="O31" s="10">
        <f t="shared" si="3"/>
        <v>0</v>
      </c>
      <c r="P31" s="10">
        <f t="shared" si="4"/>
        <v>0</v>
      </c>
      <c r="Q31" s="113">
        <f t="shared" si="5"/>
        <v>0</v>
      </c>
    </row>
    <row r="32" spans="1:22">
      <c r="A32" s="107" t="s">
        <v>174</v>
      </c>
      <c r="B32" s="107" t="s">
        <v>335</v>
      </c>
      <c r="C32" s="107" t="s">
        <v>329</v>
      </c>
      <c r="D32" s="108">
        <v>0</v>
      </c>
      <c r="E32" s="108">
        <v>659.25</v>
      </c>
      <c r="F32" s="108">
        <v>0</v>
      </c>
      <c r="G32" s="108">
        <f t="shared" si="0"/>
        <v>659.25</v>
      </c>
      <c r="I32" s="108">
        <v>0</v>
      </c>
      <c r="J32" s="108">
        <v>659.25</v>
      </c>
      <c r="K32" s="108">
        <v>0</v>
      </c>
      <c r="L32" s="108">
        <f t="shared" si="6"/>
        <v>659.25</v>
      </c>
      <c r="N32" s="10">
        <f t="shared" si="2"/>
        <v>0</v>
      </c>
      <c r="O32" s="10">
        <f t="shared" si="3"/>
        <v>0</v>
      </c>
      <c r="P32" s="10">
        <f t="shared" si="4"/>
        <v>0</v>
      </c>
      <c r="Q32" s="113">
        <f t="shared" si="5"/>
        <v>0</v>
      </c>
    </row>
    <row r="33" spans="1:22">
      <c r="A33" s="107" t="s">
        <v>175</v>
      </c>
      <c r="B33" s="107" t="s">
        <v>336</v>
      </c>
      <c r="C33" s="107" t="s">
        <v>329</v>
      </c>
      <c r="D33" s="108">
        <v>0</v>
      </c>
      <c r="E33" s="108">
        <v>5978.7</v>
      </c>
      <c r="F33" s="108">
        <v>0</v>
      </c>
      <c r="G33" s="108">
        <f t="shared" si="0"/>
        <v>5978.7</v>
      </c>
      <c r="I33" s="108">
        <v>0</v>
      </c>
      <c r="J33" s="108">
        <v>5978.7</v>
      </c>
      <c r="K33" s="108">
        <v>0</v>
      </c>
      <c r="L33" s="108">
        <f t="shared" si="6"/>
        <v>5978.7</v>
      </c>
      <c r="N33" s="10">
        <f t="shared" si="2"/>
        <v>0</v>
      </c>
      <c r="O33" s="10">
        <f t="shared" si="3"/>
        <v>0</v>
      </c>
      <c r="P33" s="10">
        <f t="shared" si="4"/>
        <v>0</v>
      </c>
      <c r="Q33" s="113">
        <f t="shared" si="5"/>
        <v>0</v>
      </c>
    </row>
    <row r="34" spans="1:22">
      <c r="A34" s="107" t="s">
        <v>337</v>
      </c>
      <c r="B34" s="107" t="s">
        <v>338</v>
      </c>
      <c r="C34" s="107" t="s">
        <v>329</v>
      </c>
      <c r="D34" s="108">
        <v>0</v>
      </c>
      <c r="E34" s="108">
        <v>18103.95</v>
      </c>
      <c r="F34" s="108">
        <v>0</v>
      </c>
      <c r="G34" s="108">
        <f t="shared" si="0"/>
        <v>18103.95</v>
      </c>
      <c r="I34" s="108">
        <v>0</v>
      </c>
      <c r="J34" s="108">
        <v>18103.95</v>
      </c>
      <c r="K34" s="108">
        <v>0</v>
      </c>
      <c r="L34" s="108">
        <f t="shared" si="6"/>
        <v>18103.95</v>
      </c>
      <c r="N34" s="10">
        <f t="shared" si="2"/>
        <v>0</v>
      </c>
      <c r="O34" s="10">
        <f t="shared" si="3"/>
        <v>0</v>
      </c>
      <c r="P34" s="10">
        <f t="shared" si="4"/>
        <v>0</v>
      </c>
      <c r="Q34" s="113">
        <f t="shared" si="5"/>
        <v>0</v>
      </c>
    </row>
    <row r="35" spans="1:22">
      <c r="A35" s="109" t="s">
        <v>180</v>
      </c>
      <c r="B35" s="107" t="s">
        <v>339</v>
      </c>
      <c r="C35" s="107" t="s">
        <v>329</v>
      </c>
      <c r="D35" s="108">
        <v>0</v>
      </c>
      <c r="E35" s="108">
        <v>6867.13</v>
      </c>
      <c r="F35" s="108">
        <v>0</v>
      </c>
      <c r="G35" s="108">
        <f t="shared" si="0"/>
        <v>6867.13</v>
      </c>
      <c r="I35" s="108">
        <v>0</v>
      </c>
      <c r="J35" s="108">
        <v>6867.13</v>
      </c>
      <c r="K35" s="108">
        <v>0</v>
      </c>
      <c r="L35" s="108">
        <f t="shared" si="6"/>
        <v>6867.13</v>
      </c>
      <c r="N35" s="10">
        <f t="shared" si="2"/>
        <v>0</v>
      </c>
      <c r="O35" s="10">
        <f t="shared" si="3"/>
        <v>0</v>
      </c>
      <c r="P35" s="10">
        <f t="shared" si="4"/>
        <v>0</v>
      </c>
      <c r="Q35" s="113">
        <f t="shared" si="5"/>
        <v>0</v>
      </c>
    </row>
    <row r="36" spans="1:22">
      <c r="A36" s="107" t="s">
        <v>177</v>
      </c>
      <c r="B36" s="107" t="s">
        <v>340</v>
      </c>
      <c r="C36" s="107" t="s">
        <v>329</v>
      </c>
      <c r="D36" s="108">
        <v>0</v>
      </c>
      <c r="E36" s="108">
        <v>4048.08</v>
      </c>
      <c r="F36" s="108">
        <v>0</v>
      </c>
      <c r="G36" s="108">
        <f t="shared" si="0"/>
        <v>4048.08</v>
      </c>
      <c r="I36" s="108">
        <v>0</v>
      </c>
      <c r="J36" s="108">
        <v>4048.08</v>
      </c>
      <c r="K36" s="108">
        <v>0</v>
      </c>
      <c r="L36" s="108">
        <f t="shared" si="6"/>
        <v>4048.08</v>
      </c>
      <c r="N36" s="10">
        <f t="shared" si="2"/>
        <v>0</v>
      </c>
      <c r="O36" s="10">
        <f t="shared" si="3"/>
        <v>0</v>
      </c>
      <c r="P36" s="10">
        <f t="shared" si="4"/>
        <v>0</v>
      </c>
      <c r="Q36" s="113">
        <f t="shared" si="5"/>
        <v>0</v>
      </c>
    </row>
    <row r="37" spans="1:22">
      <c r="A37" s="109" t="s">
        <v>178</v>
      </c>
      <c r="B37" s="107" t="s">
        <v>341</v>
      </c>
      <c r="C37" s="107" t="s">
        <v>329</v>
      </c>
      <c r="D37" s="108">
        <v>0</v>
      </c>
      <c r="E37" s="108">
        <v>786.6</v>
      </c>
      <c r="F37" s="108">
        <v>0</v>
      </c>
      <c r="G37" s="108">
        <f t="shared" si="0"/>
        <v>786.6</v>
      </c>
      <c r="I37" s="108">
        <v>0</v>
      </c>
      <c r="J37" s="108">
        <v>786.6</v>
      </c>
      <c r="K37" s="108">
        <v>0</v>
      </c>
      <c r="L37" s="108">
        <f t="shared" si="6"/>
        <v>786.6</v>
      </c>
      <c r="N37" s="10">
        <f t="shared" si="2"/>
        <v>0</v>
      </c>
      <c r="O37" s="10">
        <f t="shared" si="3"/>
        <v>0</v>
      </c>
      <c r="P37" s="10">
        <f t="shared" si="4"/>
        <v>0</v>
      </c>
      <c r="Q37" s="113">
        <f t="shared" si="5"/>
        <v>0</v>
      </c>
    </row>
    <row r="38" spans="1:22">
      <c r="A38" s="107" t="s">
        <v>182</v>
      </c>
      <c r="B38" s="107" t="s">
        <v>342</v>
      </c>
      <c r="C38" s="107" t="s">
        <v>329</v>
      </c>
      <c r="D38" s="108">
        <v>0</v>
      </c>
      <c r="E38" s="108">
        <v>7637.4</v>
      </c>
      <c r="F38" s="108">
        <v>0</v>
      </c>
      <c r="G38" s="108">
        <f t="shared" si="0"/>
        <v>7637.4</v>
      </c>
      <c r="I38" s="108">
        <v>0</v>
      </c>
      <c r="J38" s="108">
        <v>7637.4</v>
      </c>
      <c r="K38" s="108">
        <v>0</v>
      </c>
      <c r="L38" s="108">
        <f t="shared" si="6"/>
        <v>7637.4</v>
      </c>
      <c r="N38" s="10">
        <f t="shared" si="2"/>
        <v>0</v>
      </c>
      <c r="O38" s="10">
        <f t="shared" si="3"/>
        <v>0</v>
      </c>
      <c r="P38" s="10">
        <f t="shared" si="4"/>
        <v>0</v>
      </c>
      <c r="Q38" s="113">
        <f t="shared" si="5"/>
        <v>0</v>
      </c>
    </row>
    <row r="39" spans="1:22">
      <c r="A39" s="107" t="s">
        <v>184</v>
      </c>
      <c r="B39" s="107" t="s">
        <v>343</v>
      </c>
      <c r="C39" s="107" t="s">
        <v>329</v>
      </c>
      <c r="D39" s="108">
        <v>0</v>
      </c>
      <c r="E39" s="108">
        <v>2596.2199999999998</v>
      </c>
      <c r="F39" s="108">
        <v>0</v>
      </c>
      <c r="G39" s="108">
        <f t="shared" si="0"/>
        <v>2596.2199999999998</v>
      </c>
      <c r="I39" s="108">
        <v>0</v>
      </c>
      <c r="J39" s="108">
        <v>2596.2199999999998</v>
      </c>
      <c r="K39" s="108">
        <v>0</v>
      </c>
      <c r="L39" s="108">
        <f t="shared" si="6"/>
        <v>2596.2199999999998</v>
      </c>
      <c r="N39" s="10">
        <f t="shared" si="2"/>
        <v>0</v>
      </c>
      <c r="O39" s="10">
        <f t="shared" si="3"/>
        <v>0</v>
      </c>
      <c r="P39" s="10">
        <f t="shared" si="4"/>
        <v>0</v>
      </c>
      <c r="Q39" s="113">
        <f t="shared" si="5"/>
        <v>0</v>
      </c>
    </row>
    <row r="40" spans="1:22">
      <c r="A40" s="107" t="s">
        <v>185</v>
      </c>
      <c r="B40" s="107" t="s">
        <v>115</v>
      </c>
      <c r="C40" s="107" t="s">
        <v>329</v>
      </c>
      <c r="D40" s="108">
        <v>0</v>
      </c>
      <c r="E40" s="108">
        <v>2631.26</v>
      </c>
      <c r="F40" s="108">
        <v>0</v>
      </c>
      <c r="G40" s="108">
        <f t="shared" si="0"/>
        <v>2631.26</v>
      </c>
      <c r="I40" s="108">
        <v>0</v>
      </c>
      <c r="J40" s="108">
        <v>2631.26</v>
      </c>
      <c r="K40" s="108">
        <v>0</v>
      </c>
      <c r="L40" s="108">
        <f t="shared" si="6"/>
        <v>2631.26</v>
      </c>
      <c r="N40" s="10">
        <f t="shared" si="2"/>
        <v>0</v>
      </c>
      <c r="O40" s="10">
        <f t="shared" si="3"/>
        <v>0</v>
      </c>
      <c r="P40" s="10">
        <f t="shared" si="4"/>
        <v>0</v>
      </c>
      <c r="Q40" s="113">
        <f t="shared" si="5"/>
        <v>0</v>
      </c>
    </row>
    <row r="41" spans="1:22">
      <c r="A41" s="107" t="s">
        <v>187</v>
      </c>
      <c r="B41" s="107" t="s">
        <v>117</v>
      </c>
      <c r="C41" s="107" t="s">
        <v>329</v>
      </c>
      <c r="D41" s="108">
        <v>0</v>
      </c>
      <c r="E41" s="108">
        <v>4652.0200000000004</v>
      </c>
      <c r="F41" s="108">
        <v>0</v>
      </c>
      <c r="G41" s="108">
        <f t="shared" si="0"/>
        <v>4652.0200000000004</v>
      </c>
      <c r="I41" s="108">
        <v>0</v>
      </c>
      <c r="J41" s="108">
        <v>5133.38</v>
      </c>
      <c r="K41" s="108">
        <v>0</v>
      </c>
      <c r="L41" s="108">
        <f t="shared" si="6"/>
        <v>5133.38</v>
      </c>
      <c r="N41" s="10">
        <f t="shared" si="2"/>
        <v>0</v>
      </c>
      <c r="O41" s="10">
        <f t="shared" si="3"/>
        <v>481.35999999999967</v>
      </c>
      <c r="P41" s="10">
        <f t="shared" si="4"/>
        <v>0</v>
      </c>
      <c r="Q41" s="113">
        <f t="shared" si="5"/>
        <v>481.35999999999967</v>
      </c>
      <c r="S41">
        <v>1012018</v>
      </c>
      <c r="T41" s="102">
        <v>42032</v>
      </c>
      <c r="U41" s="113">
        <v>481.36</v>
      </c>
      <c r="V41" t="s">
        <v>300</v>
      </c>
    </row>
    <row r="42" spans="1:22">
      <c r="A42" s="107" t="s">
        <v>188</v>
      </c>
      <c r="B42" s="107" t="s">
        <v>344</v>
      </c>
      <c r="C42" s="107" t="s">
        <v>329</v>
      </c>
      <c r="D42" s="108">
        <v>0</v>
      </c>
      <c r="E42" s="108">
        <v>1831.82</v>
      </c>
      <c r="F42" s="108">
        <v>0</v>
      </c>
      <c r="G42" s="108">
        <f t="shared" si="0"/>
        <v>1831.82</v>
      </c>
      <c r="I42" s="108">
        <v>0</v>
      </c>
      <c r="J42" s="108">
        <v>1831.82</v>
      </c>
      <c r="K42" s="108">
        <v>0</v>
      </c>
      <c r="L42" s="108">
        <f t="shared" si="6"/>
        <v>1831.82</v>
      </c>
      <c r="N42" s="10">
        <f t="shared" si="2"/>
        <v>0</v>
      </c>
      <c r="O42" s="10">
        <f t="shared" si="3"/>
        <v>0</v>
      </c>
      <c r="P42" s="10">
        <f t="shared" si="4"/>
        <v>0</v>
      </c>
      <c r="Q42" s="113">
        <f t="shared" si="5"/>
        <v>0</v>
      </c>
    </row>
    <row r="43" spans="1:22">
      <c r="A43" s="107" t="s">
        <v>190</v>
      </c>
      <c r="B43" s="107" t="s">
        <v>345</v>
      </c>
      <c r="C43" s="107" t="s">
        <v>329</v>
      </c>
      <c r="D43" s="108">
        <v>0</v>
      </c>
      <c r="E43" s="108">
        <v>810.61</v>
      </c>
      <c r="F43" s="108">
        <v>0</v>
      </c>
      <c r="G43" s="108">
        <f t="shared" si="0"/>
        <v>810.61</v>
      </c>
      <c r="I43" s="108">
        <v>0</v>
      </c>
      <c r="J43" s="108">
        <v>853.44</v>
      </c>
      <c r="K43" s="108">
        <v>0</v>
      </c>
      <c r="L43" s="108">
        <f t="shared" si="6"/>
        <v>853.44</v>
      </c>
      <c r="N43" s="10">
        <f t="shared" si="2"/>
        <v>0</v>
      </c>
      <c r="O43" s="10">
        <f t="shared" si="3"/>
        <v>42.830000000000041</v>
      </c>
      <c r="P43" s="10">
        <f t="shared" si="4"/>
        <v>0</v>
      </c>
      <c r="Q43" s="113">
        <f t="shared" si="5"/>
        <v>42.830000000000041</v>
      </c>
      <c r="S43">
        <v>1012017</v>
      </c>
      <c r="T43" s="102">
        <v>42032</v>
      </c>
      <c r="U43" s="113">
        <v>42.83</v>
      </c>
      <c r="V43" t="s">
        <v>300</v>
      </c>
    </row>
    <row r="44" spans="1:22">
      <c r="A44" s="107" t="s">
        <v>201</v>
      </c>
      <c r="B44" s="107" t="s">
        <v>346</v>
      </c>
      <c r="C44" s="107" t="s">
        <v>329</v>
      </c>
      <c r="D44" s="108">
        <v>0</v>
      </c>
      <c r="E44" s="108">
        <v>4871.84</v>
      </c>
      <c r="F44" s="108">
        <v>0</v>
      </c>
      <c r="G44" s="108">
        <f t="shared" si="0"/>
        <v>4871.84</v>
      </c>
      <c r="I44" s="108">
        <v>0</v>
      </c>
      <c r="J44" s="108">
        <v>4871.84</v>
      </c>
      <c r="K44" s="108">
        <v>0</v>
      </c>
      <c r="L44" s="108">
        <f t="shared" si="6"/>
        <v>4871.84</v>
      </c>
      <c r="N44" s="10">
        <f t="shared" si="2"/>
        <v>0</v>
      </c>
      <c r="O44" s="10">
        <f t="shared" si="3"/>
        <v>0</v>
      </c>
      <c r="P44" s="10">
        <f t="shared" si="4"/>
        <v>0</v>
      </c>
      <c r="Q44" s="113">
        <f t="shared" si="5"/>
        <v>0</v>
      </c>
    </row>
    <row r="45" spans="1:22">
      <c r="A45" s="107" t="s">
        <v>193</v>
      </c>
      <c r="B45" s="107" t="s">
        <v>123</v>
      </c>
      <c r="C45" s="107" t="s">
        <v>329</v>
      </c>
      <c r="D45" s="108">
        <v>0</v>
      </c>
      <c r="E45" s="108">
        <v>14726.13</v>
      </c>
      <c r="F45" s="108">
        <v>0</v>
      </c>
      <c r="G45" s="108">
        <f t="shared" si="0"/>
        <v>14726.13</v>
      </c>
      <c r="I45" s="108">
        <v>0</v>
      </c>
      <c r="J45" s="108">
        <v>14726.13</v>
      </c>
      <c r="K45" s="108">
        <v>0</v>
      </c>
      <c r="L45" s="108">
        <f t="shared" si="6"/>
        <v>14726.13</v>
      </c>
      <c r="N45" s="10">
        <f t="shared" si="2"/>
        <v>0</v>
      </c>
      <c r="O45" s="10">
        <f t="shared" si="3"/>
        <v>0</v>
      </c>
      <c r="P45" s="10">
        <f t="shared" si="4"/>
        <v>0</v>
      </c>
      <c r="Q45" s="113">
        <f t="shared" si="5"/>
        <v>0</v>
      </c>
    </row>
    <row r="46" spans="1:22">
      <c r="A46" s="107" t="s">
        <v>194</v>
      </c>
      <c r="B46" s="107" t="s">
        <v>124</v>
      </c>
      <c r="C46" s="107" t="s">
        <v>329</v>
      </c>
      <c r="D46" s="108">
        <v>0</v>
      </c>
      <c r="E46" s="108">
        <v>995.44</v>
      </c>
      <c r="F46" s="108">
        <v>0</v>
      </c>
      <c r="G46" s="108">
        <f t="shared" si="0"/>
        <v>995.44</v>
      </c>
      <c r="I46" s="108">
        <v>0</v>
      </c>
      <c r="J46" s="108">
        <v>995.44</v>
      </c>
      <c r="K46" s="108">
        <v>0</v>
      </c>
      <c r="L46" s="108">
        <f t="shared" si="6"/>
        <v>995.44</v>
      </c>
      <c r="N46" s="10">
        <f t="shared" si="2"/>
        <v>0</v>
      </c>
      <c r="O46" s="10">
        <f t="shared" si="3"/>
        <v>0</v>
      </c>
      <c r="P46" s="10">
        <f t="shared" si="4"/>
        <v>0</v>
      </c>
      <c r="Q46" s="113">
        <f t="shared" si="5"/>
        <v>0</v>
      </c>
    </row>
    <row r="47" spans="1:22">
      <c r="A47" s="107" t="s">
        <v>195</v>
      </c>
      <c r="B47" s="107" t="s">
        <v>125</v>
      </c>
      <c r="C47" s="107" t="s">
        <v>329</v>
      </c>
      <c r="D47" s="108">
        <v>0</v>
      </c>
      <c r="E47" s="108">
        <v>200</v>
      </c>
      <c r="F47" s="108">
        <v>0</v>
      </c>
      <c r="G47" s="108">
        <f t="shared" si="0"/>
        <v>200</v>
      </c>
      <c r="I47" s="108">
        <v>0</v>
      </c>
      <c r="J47" s="108">
        <v>200</v>
      </c>
      <c r="K47" s="108">
        <v>0</v>
      </c>
      <c r="L47" s="108">
        <f t="shared" si="6"/>
        <v>200</v>
      </c>
      <c r="N47" s="10">
        <f t="shared" si="2"/>
        <v>0</v>
      </c>
      <c r="O47" s="10">
        <f t="shared" si="3"/>
        <v>0</v>
      </c>
      <c r="P47" s="10">
        <f t="shared" si="4"/>
        <v>0</v>
      </c>
      <c r="Q47" s="113">
        <f t="shared" si="5"/>
        <v>0</v>
      </c>
    </row>
    <row r="48" spans="1:22">
      <c r="A48" s="107" t="s">
        <v>196</v>
      </c>
      <c r="B48" s="107" t="s">
        <v>347</v>
      </c>
      <c r="C48" s="107" t="s">
        <v>329</v>
      </c>
      <c r="D48" s="108">
        <v>0</v>
      </c>
      <c r="E48" s="108">
        <v>9320</v>
      </c>
      <c r="F48" s="108">
        <v>0</v>
      </c>
      <c r="G48" s="108">
        <f t="shared" si="0"/>
        <v>9320</v>
      </c>
      <c r="I48" s="108">
        <v>0</v>
      </c>
      <c r="J48" s="108">
        <v>9540</v>
      </c>
      <c r="K48" s="108">
        <v>0</v>
      </c>
      <c r="L48" s="108">
        <f t="shared" si="6"/>
        <v>9540</v>
      </c>
      <c r="N48" s="10">
        <f t="shared" si="2"/>
        <v>0</v>
      </c>
      <c r="O48" s="10">
        <f t="shared" si="3"/>
        <v>220</v>
      </c>
      <c r="P48" s="10">
        <f t="shared" si="4"/>
        <v>0</v>
      </c>
      <c r="Q48" s="113">
        <f t="shared" si="5"/>
        <v>220</v>
      </c>
      <c r="S48">
        <v>1012023</v>
      </c>
      <c r="T48" s="102">
        <v>42033</v>
      </c>
      <c r="U48" s="113">
        <v>220</v>
      </c>
      <c r="V48" t="s">
        <v>300</v>
      </c>
    </row>
    <row r="49" spans="1:17">
      <c r="A49" s="107" t="s">
        <v>197</v>
      </c>
      <c r="B49" s="107" t="s">
        <v>348</v>
      </c>
      <c r="C49" s="107" t="s">
        <v>329</v>
      </c>
      <c r="D49" s="108">
        <v>0</v>
      </c>
      <c r="E49" s="108">
        <v>2975.05</v>
      </c>
      <c r="F49" s="108">
        <v>0</v>
      </c>
      <c r="G49" s="108">
        <f t="shared" si="0"/>
        <v>2975.05</v>
      </c>
      <c r="I49" s="108">
        <v>0</v>
      </c>
      <c r="J49" s="108">
        <v>2975.05</v>
      </c>
      <c r="K49" s="108">
        <v>0</v>
      </c>
      <c r="L49" s="108">
        <f t="shared" si="6"/>
        <v>2975.05</v>
      </c>
      <c r="N49" s="10">
        <f t="shared" si="2"/>
        <v>0</v>
      </c>
      <c r="O49" s="10">
        <f t="shared" si="3"/>
        <v>0</v>
      </c>
      <c r="P49" s="10">
        <f t="shared" si="4"/>
        <v>0</v>
      </c>
      <c r="Q49" s="113">
        <f t="shared" si="5"/>
        <v>0</v>
      </c>
    </row>
    <row r="50" spans="1:17">
      <c r="A50" s="107" t="s">
        <v>349</v>
      </c>
      <c r="B50" s="107" t="s">
        <v>350</v>
      </c>
      <c r="C50" s="107" t="s">
        <v>329</v>
      </c>
      <c r="D50" s="108">
        <v>0</v>
      </c>
      <c r="E50" s="108">
        <v>124710.72</v>
      </c>
      <c r="F50" s="108">
        <v>0</v>
      </c>
      <c r="G50" s="108">
        <f t="shared" si="0"/>
        <v>124710.72</v>
      </c>
      <c r="I50" s="108">
        <v>0</v>
      </c>
      <c r="J50" s="108">
        <v>124710.72</v>
      </c>
      <c r="K50" s="108">
        <v>0</v>
      </c>
      <c r="L50" s="108">
        <f t="shared" si="6"/>
        <v>124710.72</v>
      </c>
      <c r="N50" s="10">
        <f t="shared" si="2"/>
        <v>0</v>
      </c>
      <c r="O50" s="10">
        <f t="shared" si="3"/>
        <v>0</v>
      </c>
      <c r="P50" s="10">
        <f t="shared" si="4"/>
        <v>0</v>
      </c>
      <c r="Q50" s="113">
        <f t="shared" si="5"/>
        <v>0</v>
      </c>
    </row>
    <row r="51" spans="1:17">
      <c r="A51" s="109" t="s">
        <v>198</v>
      </c>
      <c r="B51" s="107" t="s">
        <v>351</v>
      </c>
      <c r="C51" s="107" t="s">
        <v>329</v>
      </c>
      <c r="D51" s="108">
        <v>0</v>
      </c>
      <c r="E51" s="108">
        <v>79</v>
      </c>
      <c r="F51" s="108">
        <v>0</v>
      </c>
      <c r="G51" s="108">
        <f t="shared" si="0"/>
        <v>79</v>
      </c>
      <c r="I51" s="108">
        <v>0</v>
      </c>
      <c r="J51" s="108">
        <v>79</v>
      </c>
      <c r="K51" s="108">
        <v>0</v>
      </c>
      <c r="L51" s="108">
        <f t="shared" si="6"/>
        <v>79</v>
      </c>
      <c r="N51" s="10">
        <f t="shared" si="2"/>
        <v>0</v>
      </c>
      <c r="O51" s="10">
        <f t="shared" si="3"/>
        <v>0</v>
      </c>
      <c r="P51" s="10">
        <f t="shared" si="4"/>
        <v>0</v>
      </c>
      <c r="Q51" s="113">
        <f t="shared" si="5"/>
        <v>0</v>
      </c>
    </row>
    <row r="52" spans="1:17">
      <c r="A52" s="107" t="s">
        <v>199</v>
      </c>
      <c r="B52" s="107" t="s">
        <v>352</v>
      </c>
      <c r="C52" s="107" t="s">
        <v>329</v>
      </c>
      <c r="D52" s="108">
        <v>0</v>
      </c>
      <c r="E52" s="108">
        <v>2951</v>
      </c>
      <c r="F52" s="108">
        <v>0</v>
      </c>
      <c r="G52" s="108">
        <f t="shared" si="0"/>
        <v>2951</v>
      </c>
      <c r="I52" s="108">
        <v>0</v>
      </c>
      <c r="J52" s="108">
        <v>2951</v>
      </c>
      <c r="K52" s="108">
        <v>0</v>
      </c>
      <c r="L52" s="108">
        <f t="shared" si="6"/>
        <v>2951</v>
      </c>
      <c r="N52" s="10">
        <f t="shared" si="2"/>
        <v>0</v>
      </c>
      <c r="O52" s="10">
        <f t="shared" si="3"/>
        <v>0</v>
      </c>
      <c r="P52" s="10">
        <f t="shared" si="4"/>
        <v>0</v>
      </c>
      <c r="Q52" s="113">
        <f t="shared" si="5"/>
        <v>0</v>
      </c>
    </row>
    <row r="53" spans="1:17">
      <c r="A53" s="107"/>
      <c r="B53" s="107"/>
      <c r="C53" s="107"/>
      <c r="D53" s="108"/>
      <c r="E53" s="108"/>
      <c r="F53" s="108"/>
      <c r="G53" s="108"/>
      <c r="I53" s="108"/>
      <c r="J53" s="108"/>
      <c r="K53" s="108"/>
      <c r="L53" s="108"/>
    </row>
    <row r="54" spans="1:17">
      <c r="A54" s="107" t="s">
        <v>353</v>
      </c>
      <c r="B54" s="107" t="s">
        <v>354</v>
      </c>
      <c r="C54" s="107" t="s">
        <v>355</v>
      </c>
      <c r="D54" s="108">
        <v>32629.33</v>
      </c>
      <c r="E54" s="108">
        <v>303285.08</v>
      </c>
      <c r="F54" s="108">
        <v>290450.40999999997</v>
      </c>
      <c r="G54" s="108">
        <f t="shared" si="0"/>
        <v>45464.000000000058</v>
      </c>
      <c r="I54" s="108">
        <v>32629.33</v>
      </c>
      <c r="J54" s="108">
        <v>304469.23</v>
      </c>
      <c r="K54" s="108">
        <v>291194.59999999998</v>
      </c>
      <c r="L54" s="108">
        <f t="shared" ref="L54:L66" si="7">I54+J54-K54</f>
        <v>45903.960000000021</v>
      </c>
      <c r="N54" s="10">
        <f t="shared" ref="N54:N64" si="8">I54-D54</f>
        <v>0</v>
      </c>
      <c r="O54" s="10">
        <f t="shared" ref="O54:O64" si="9">J54-E54</f>
        <v>1184.1499999999651</v>
      </c>
      <c r="P54" s="10">
        <f t="shared" ref="P54:P64" si="10">K54-F54</f>
        <v>744.19000000000233</v>
      </c>
      <c r="Q54" s="113">
        <f t="shared" ref="Q54:Q64" si="11">N54+O54-P54</f>
        <v>439.95999999996275</v>
      </c>
    </row>
    <row r="55" spans="1:17">
      <c r="A55" s="107" t="s">
        <v>356</v>
      </c>
      <c r="B55" s="107" t="s">
        <v>357</v>
      </c>
      <c r="C55" s="107" t="s">
        <v>355</v>
      </c>
      <c r="D55" s="108">
        <v>9995</v>
      </c>
      <c r="E55" s="108">
        <v>3820</v>
      </c>
      <c r="F55" s="108">
        <v>0</v>
      </c>
      <c r="G55" s="108">
        <f t="shared" si="0"/>
        <v>13815</v>
      </c>
      <c r="I55" s="108">
        <v>9995</v>
      </c>
      <c r="J55" s="108">
        <v>3920</v>
      </c>
      <c r="K55" s="108">
        <v>0</v>
      </c>
      <c r="L55" s="108">
        <f t="shared" si="7"/>
        <v>13915</v>
      </c>
      <c r="N55" s="10">
        <f t="shared" si="8"/>
        <v>0</v>
      </c>
      <c r="O55" s="10">
        <f t="shared" si="9"/>
        <v>100</v>
      </c>
      <c r="P55" s="10">
        <f t="shared" si="10"/>
        <v>0</v>
      </c>
      <c r="Q55" s="113">
        <f t="shared" si="11"/>
        <v>100</v>
      </c>
    </row>
    <row r="56" spans="1:17">
      <c r="A56" s="110" t="s">
        <v>358</v>
      </c>
      <c r="B56" s="110" t="s">
        <v>359</v>
      </c>
      <c r="C56" s="107" t="s">
        <v>355</v>
      </c>
      <c r="D56" s="108">
        <v>1641.97</v>
      </c>
      <c r="E56" s="108">
        <v>1718.75</v>
      </c>
      <c r="F56" s="108">
        <v>1875.5</v>
      </c>
      <c r="G56" s="108">
        <f t="shared" si="0"/>
        <v>1485.2200000000003</v>
      </c>
      <c r="I56" s="108">
        <v>1641.97</v>
      </c>
      <c r="J56" s="108">
        <v>1718.75</v>
      </c>
      <c r="K56" s="108">
        <v>1875.5</v>
      </c>
      <c r="L56" s="108">
        <f t="shared" si="7"/>
        <v>1485.2200000000003</v>
      </c>
      <c r="N56" s="10">
        <f t="shared" si="8"/>
        <v>0</v>
      </c>
      <c r="O56" s="10">
        <f t="shared" si="9"/>
        <v>0</v>
      </c>
      <c r="P56" s="10">
        <f t="shared" si="10"/>
        <v>0</v>
      </c>
      <c r="Q56" s="113">
        <f t="shared" si="11"/>
        <v>0</v>
      </c>
    </row>
    <row r="57" spans="1:17">
      <c r="A57" s="107" t="s">
        <v>360</v>
      </c>
      <c r="B57" s="107" t="s">
        <v>361</v>
      </c>
      <c r="C57" s="107" t="s">
        <v>355</v>
      </c>
      <c r="D57" s="108">
        <v>61689.98</v>
      </c>
      <c r="E57" s="108">
        <v>0</v>
      </c>
      <c r="F57" s="108">
        <v>22000</v>
      </c>
      <c r="G57" s="108">
        <f t="shared" si="0"/>
        <v>39689.980000000003</v>
      </c>
      <c r="I57" s="108">
        <v>61689.98</v>
      </c>
      <c r="J57" s="108">
        <v>0</v>
      </c>
      <c r="K57" s="108">
        <v>22000</v>
      </c>
      <c r="L57" s="108">
        <f t="shared" si="7"/>
        <v>39689.980000000003</v>
      </c>
      <c r="N57" s="10">
        <f t="shared" si="8"/>
        <v>0</v>
      </c>
      <c r="O57" s="10">
        <f t="shared" si="9"/>
        <v>0</v>
      </c>
      <c r="P57" s="10">
        <f t="shared" si="10"/>
        <v>0</v>
      </c>
      <c r="Q57" s="113">
        <f t="shared" si="11"/>
        <v>0</v>
      </c>
    </row>
    <row r="58" spans="1:17">
      <c r="A58" s="107" t="s">
        <v>362</v>
      </c>
      <c r="B58" s="107" t="s">
        <v>363</v>
      </c>
      <c r="C58" s="107" t="s">
        <v>355</v>
      </c>
      <c r="D58" s="108">
        <v>58388.14</v>
      </c>
      <c r="E58" s="108">
        <v>5.08</v>
      </c>
      <c r="F58" s="108">
        <v>58393.22</v>
      </c>
      <c r="G58" s="108">
        <f t="shared" si="0"/>
        <v>0</v>
      </c>
      <c r="I58" s="108">
        <v>58388.14</v>
      </c>
      <c r="J58" s="108">
        <v>5.08</v>
      </c>
      <c r="K58" s="108">
        <v>58393.22</v>
      </c>
      <c r="L58" s="108">
        <f t="shared" si="7"/>
        <v>0</v>
      </c>
      <c r="N58" s="10">
        <f t="shared" si="8"/>
        <v>0</v>
      </c>
      <c r="O58" s="10">
        <f t="shared" si="9"/>
        <v>0</v>
      </c>
      <c r="P58" s="10">
        <f t="shared" si="10"/>
        <v>0</v>
      </c>
      <c r="Q58" s="113">
        <f t="shared" si="11"/>
        <v>0</v>
      </c>
    </row>
    <row r="59" spans="1:17">
      <c r="A59" s="107" t="s">
        <v>364</v>
      </c>
      <c r="B59" s="107" t="s">
        <v>266</v>
      </c>
      <c r="C59" s="107" t="s">
        <v>355</v>
      </c>
      <c r="D59" s="108">
        <v>49.45</v>
      </c>
      <c r="E59" s="108">
        <v>0</v>
      </c>
      <c r="F59" s="108">
        <v>0</v>
      </c>
      <c r="G59" s="108">
        <f t="shared" si="0"/>
        <v>49.45</v>
      </c>
      <c r="I59" s="108">
        <v>49.45</v>
      </c>
      <c r="J59" s="108">
        <v>0</v>
      </c>
      <c r="K59" s="108">
        <v>0</v>
      </c>
      <c r="L59" s="108">
        <f t="shared" si="7"/>
        <v>49.45</v>
      </c>
      <c r="N59" s="10">
        <f t="shared" si="8"/>
        <v>0</v>
      </c>
      <c r="O59" s="10">
        <f t="shared" si="9"/>
        <v>0</v>
      </c>
      <c r="P59" s="10">
        <f t="shared" si="10"/>
        <v>0</v>
      </c>
      <c r="Q59" s="113">
        <f t="shared" si="11"/>
        <v>0</v>
      </c>
    </row>
    <row r="60" spans="1:17">
      <c r="A60" s="107" t="s">
        <v>365</v>
      </c>
      <c r="B60" s="107" t="s">
        <v>366</v>
      </c>
      <c r="C60" s="107" t="s">
        <v>355</v>
      </c>
      <c r="D60" s="108">
        <v>636.14</v>
      </c>
      <c r="E60" s="108">
        <v>7377.45</v>
      </c>
      <c r="F60" s="108">
        <v>7927.6</v>
      </c>
      <c r="G60" s="108">
        <f t="shared" si="0"/>
        <v>85.989999999999782</v>
      </c>
      <c r="I60" s="108">
        <v>636.14</v>
      </c>
      <c r="J60" s="108">
        <v>7377.45</v>
      </c>
      <c r="K60" s="108">
        <v>7927.6</v>
      </c>
      <c r="L60" s="108">
        <f t="shared" si="7"/>
        <v>85.989999999999782</v>
      </c>
      <c r="N60" s="10">
        <f t="shared" si="8"/>
        <v>0</v>
      </c>
      <c r="O60" s="10">
        <f t="shared" si="9"/>
        <v>0</v>
      </c>
      <c r="P60" s="10">
        <f t="shared" si="10"/>
        <v>0</v>
      </c>
      <c r="Q60" s="113">
        <f t="shared" si="11"/>
        <v>0</v>
      </c>
    </row>
    <row r="61" spans="1:17">
      <c r="A61" s="107" t="s">
        <v>367</v>
      </c>
      <c r="B61" s="107" t="s">
        <v>257</v>
      </c>
      <c r="C61" s="107" t="s">
        <v>355</v>
      </c>
      <c r="D61" s="108">
        <v>840</v>
      </c>
      <c r="E61" s="108">
        <v>1727.39</v>
      </c>
      <c r="F61" s="108">
        <v>2032.65</v>
      </c>
      <c r="G61" s="108">
        <f t="shared" si="0"/>
        <v>534.74000000000024</v>
      </c>
      <c r="I61" s="108">
        <v>840</v>
      </c>
      <c r="J61" s="108">
        <v>1727.39</v>
      </c>
      <c r="K61" s="108">
        <v>2032.65</v>
      </c>
      <c r="L61" s="108">
        <f t="shared" si="7"/>
        <v>534.74000000000024</v>
      </c>
      <c r="N61" s="10">
        <f t="shared" si="8"/>
        <v>0</v>
      </c>
      <c r="O61" s="10">
        <f t="shared" si="9"/>
        <v>0</v>
      </c>
      <c r="P61" s="10">
        <f t="shared" si="10"/>
        <v>0</v>
      </c>
      <c r="Q61" s="113">
        <f t="shared" si="11"/>
        <v>0</v>
      </c>
    </row>
    <row r="62" spans="1:17">
      <c r="A62" s="107" t="s">
        <v>368</v>
      </c>
      <c r="B62" s="107" t="s">
        <v>268</v>
      </c>
      <c r="C62" s="107" t="s">
        <v>355</v>
      </c>
      <c r="D62" s="108">
        <v>177.22</v>
      </c>
      <c r="E62" s="108">
        <v>0</v>
      </c>
      <c r="F62" s="108">
        <v>0</v>
      </c>
      <c r="G62" s="108">
        <f t="shared" si="0"/>
        <v>177.22</v>
      </c>
      <c r="I62" s="108">
        <v>177.22</v>
      </c>
      <c r="J62" s="108">
        <v>0</v>
      </c>
      <c r="K62" s="108">
        <v>0</v>
      </c>
      <c r="L62" s="108">
        <f t="shared" si="7"/>
        <v>177.22</v>
      </c>
      <c r="N62" s="10">
        <f t="shared" si="8"/>
        <v>0</v>
      </c>
      <c r="O62" s="10">
        <f t="shared" si="9"/>
        <v>0</v>
      </c>
      <c r="P62" s="10">
        <f t="shared" si="10"/>
        <v>0</v>
      </c>
      <c r="Q62" s="113">
        <f t="shared" si="11"/>
        <v>0</v>
      </c>
    </row>
    <row r="63" spans="1:17">
      <c r="A63" s="107" t="s">
        <v>369</v>
      </c>
      <c r="B63" s="107" t="s">
        <v>259</v>
      </c>
      <c r="C63" s="107" t="s">
        <v>355</v>
      </c>
      <c r="D63" s="108">
        <v>67.3</v>
      </c>
      <c r="E63" s="108">
        <v>572.4</v>
      </c>
      <c r="F63" s="108">
        <v>426.56</v>
      </c>
      <c r="G63" s="108">
        <f t="shared" si="0"/>
        <v>213.13999999999993</v>
      </c>
      <c r="I63" s="108">
        <v>67.3</v>
      </c>
      <c r="J63" s="108">
        <v>572.4</v>
      </c>
      <c r="K63" s="108">
        <v>426.56</v>
      </c>
      <c r="L63" s="108">
        <f t="shared" si="7"/>
        <v>213.13999999999993</v>
      </c>
      <c r="N63" s="10">
        <f t="shared" si="8"/>
        <v>0</v>
      </c>
      <c r="O63" s="10">
        <f t="shared" si="9"/>
        <v>0</v>
      </c>
      <c r="P63" s="10">
        <f t="shared" si="10"/>
        <v>0</v>
      </c>
      <c r="Q63" s="113">
        <f t="shared" si="11"/>
        <v>0</v>
      </c>
    </row>
    <row r="64" spans="1:17">
      <c r="A64" s="107" t="s">
        <v>370</v>
      </c>
      <c r="B64" s="107" t="s">
        <v>269</v>
      </c>
      <c r="C64" s="107" t="s">
        <v>371</v>
      </c>
      <c r="D64" s="108">
        <v>0</v>
      </c>
      <c r="E64" s="108">
        <v>3077.43</v>
      </c>
      <c r="F64" s="108">
        <v>3333.49</v>
      </c>
      <c r="G64" s="108">
        <f t="shared" si="0"/>
        <v>-256.05999999999995</v>
      </c>
      <c r="I64" s="108">
        <v>0</v>
      </c>
      <c r="J64" s="108">
        <v>3077.43</v>
      </c>
      <c r="K64" s="108">
        <v>3333.49</v>
      </c>
      <c r="L64" s="108">
        <f t="shared" si="7"/>
        <v>-256.05999999999995</v>
      </c>
      <c r="N64" s="10">
        <f t="shared" si="8"/>
        <v>0</v>
      </c>
      <c r="O64" s="10">
        <f t="shared" si="9"/>
        <v>0</v>
      </c>
      <c r="P64" s="10">
        <f t="shared" si="10"/>
        <v>0</v>
      </c>
      <c r="Q64" s="113">
        <f t="shared" si="11"/>
        <v>0</v>
      </c>
    </row>
    <row r="65" spans="1:17">
      <c r="A65" s="107"/>
      <c r="B65" s="107"/>
      <c r="C65" s="107"/>
      <c r="D65" s="108"/>
      <c r="E65" s="108"/>
      <c r="F65" s="108"/>
      <c r="G65" s="108"/>
      <c r="I65" s="108"/>
      <c r="J65" s="108"/>
      <c r="K65" s="108"/>
      <c r="L65" s="108"/>
    </row>
    <row r="66" spans="1:17">
      <c r="A66" s="107" t="s">
        <v>372</v>
      </c>
      <c r="B66" s="107"/>
      <c r="C66" s="107"/>
      <c r="D66" s="108">
        <v>-166114.53</v>
      </c>
      <c r="E66" s="108">
        <v>0</v>
      </c>
      <c r="F66" s="108">
        <v>0</v>
      </c>
      <c r="G66" s="108">
        <f t="shared" si="0"/>
        <v>-166114.53</v>
      </c>
      <c r="I66" s="108">
        <v>-166114.53</v>
      </c>
      <c r="J66" s="108">
        <v>0</v>
      </c>
      <c r="K66" s="108">
        <v>0</v>
      </c>
      <c r="L66" s="108">
        <f t="shared" si="7"/>
        <v>-166114.53</v>
      </c>
      <c r="N66" s="10">
        <f>I66-D66</f>
        <v>0</v>
      </c>
      <c r="O66" s="10">
        <f>J66-E66</f>
        <v>0</v>
      </c>
      <c r="P66" s="10">
        <f>K66-F66</f>
        <v>0</v>
      </c>
      <c r="Q66" s="113">
        <f>N66+O66-P66</f>
        <v>0</v>
      </c>
    </row>
    <row r="67" spans="1:17">
      <c r="A67" s="107"/>
      <c r="B67" s="107"/>
      <c r="C67" s="107"/>
      <c r="D67" s="108"/>
      <c r="E67" s="108"/>
      <c r="F67" s="108"/>
      <c r="G67" s="108"/>
      <c r="I67" s="108"/>
      <c r="J67" s="108"/>
      <c r="K67" s="108"/>
      <c r="L67" s="108"/>
    </row>
    <row r="68" spans="1:17">
      <c r="A68" s="111"/>
      <c r="B68" s="111" t="s">
        <v>373</v>
      </c>
      <c r="C68" s="111"/>
      <c r="D68" s="112">
        <f>SUM(D3:D67)</f>
        <v>0</v>
      </c>
      <c r="E68" s="112">
        <f>SUM(E3:E67)</f>
        <v>615080.89999999991</v>
      </c>
      <c r="F68" s="112">
        <f>SUM(F3:F67)</f>
        <v>615080.89999999991</v>
      </c>
      <c r="G68" s="112">
        <f>SUM(G3:G67)</f>
        <v>0</v>
      </c>
      <c r="I68" s="112">
        <f>SUM(I3:I67)</f>
        <v>0</v>
      </c>
      <c r="J68" s="112">
        <f>SUM(J3:J67)</f>
        <v>617109.24</v>
      </c>
      <c r="K68" s="112">
        <f>SUM(K3:K67)</f>
        <v>617109.24</v>
      </c>
      <c r="L68" s="112">
        <f>SUM(L3:L67)</f>
        <v>0</v>
      </c>
      <c r="N68" s="115">
        <f>SUM(N3:N67)</f>
        <v>0</v>
      </c>
      <c r="O68" s="115">
        <f>SUM(O3:O67)</f>
        <v>2028.3399999999647</v>
      </c>
      <c r="P68" s="115">
        <f>SUM(P3:P67)</f>
        <v>2028.340000000002</v>
      </c>
      <c r="Q68" s="115">
        <f>SUM(Q3:Q67)</f>
        <v>-3.7175595934968442E-11</v>
      </c>
    </row>
  </sheetData>
  <mergeCells count="3">
    <mergeCell ref="D1:G1"/>
    <mergeCell ref="I1:L1"/>
    <mergeCell ref="N1:Q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BA9A8-572E-4027-83DA-C2C8E4DCA50E}">
  <sheetPr>
    <pageSetUpPr fitToPage="1"/>
  </sheetPr>
  <dimension ref="A1:AD67"/>
  <sheetViews>
    <sheetView topLeftCell="A44" zoomScaleNormal="100" workbookViewId="0">
      <selection activeCell="N62" sqref="N62"/>
    </sheetView>
  </sheetViews>
  <sheetFormatPr defaultColWidth="9" defaultRowHeight="14.25" outlineLevelCol="1"/>
  <cols>
    <col min="1" max="1" width="47.5703125" bestFit="1" customWidth="1"/>
    <col min="2" max="14" width="9" style="4" customWidth="1"/>
    <col min="15" max="15" width="9" style="4" hidden="1" customWidth="1" outlineLevel="1"/>
    <col min="16" max="16" width="8.5703125" style="4" hidden="1" customWidth="1" outlineLevel="1"/>
    <col min="17" max="17" width="8.28515625" style="4" hidden="1" customWidth="1" outlineLevel="1"/>
    <col min="18" max="18" width="7.28515625" style="4" hidden="1" customWidth="1" outlineLevel="1"/>
    <col min="19" max="19" width="8.28515625" style="4" hidden="1" customWidth="1" outlineLevel="1"/>
    <col min="20" max="20" width="10" style="4" hidden="1" customWidth="1" outlineLevel="1"/>
    <col min="21" max="21" width="8" style="4" hidden="1" customWidth="1" outlineLevel="1"/>
    <col min="22" max="22" width="9.5703125" style="4" hidden="1" customWidth="1" outlineLevel="1"/>
    <col min="23" max="23" width="8.5703125" style="4" hidden="1" customWidth="1" outlineLevel="1"/>
    <col min="24" max="24" width="3" customWidth="1" collapsed="1"/>
    <col min="25" max="26" width="9" style="13" bestFit="1" customWidth="1"/>
    <col min="27" max="27" width="3" customWidth="1"/>
    <col min="28" max="28" width="8.5703125" style="13" customWidth="1"/>
    <col min="29" max="29" width="10" bestFit="1" customWidth="1"/>
    <col min="30" max="30" width="9.42578125" customWidth="1"/>
  </cols>
  <sheetData>
    <row r="1" spans="1:30">
      <c r="A1" s="1" t="s">
        <v>0</v>
      </c>
      <c r="B1" s="3"/>
    </row>
    <row r="2" spans="1:30">
      <c r="A2" s="1" t="s">
        <v>10</v>
      </c>
      <c r="Y2" s="116">
        <v>12</v>
      </c>
      <c r="AB2" s="116">
        <f>Y2</f>
        <v>12</v>
      </c>
    </row>
    <row r="3" spans="1:30">
      <c r="A3" s="1">
        <f>'Income - Overall'!A3</f>
        <v>46173</v>
      </c>
      <c r="AB3" s="14" t="s">
        <v>11</v>
      </c>
    </row>
    <row r="4" spans="1:30">
      <c r="A4" s="1" t="s">
        <v>374</v>
      </c>
      <c r="AB4" s="14" t="s">
        <v>13</v>
      </c>
    </row>
    <row r="5" spans="1:30">
      <c r="A5" s="7"/>
      <c r="B5" s="7"/>
      <c r="C5" s="7"/>
      <c r="D5" s="7"/>
      <c r="E5" s="7"/>
      <c r="F5" s="7"/>
      <c r="G5" s="7"/>
      <c r="H5" s="7"/>
      <c r="I5" s="7"/>
      <c r="J5" s="7"/>
      <c r="K5" s="7"/>
      <c r="L5" s="7"/>
      <c r="M5" s="7"/>
      <c r="N5" s="136"/>
      <c r="O5" s="136"/>
      <c r="P5" s="7"/>
      <c r="Q5" s="12" t="s">
        <v>14</v>
      </c>
      <c r="R5" s="12" t="s">
        <v>15</v>
      </c>
      <c r="S5" s="12" t="s">
        <v>16</v>
      </c>
      <c r="T5" s="12" t="s">
        <v>17</v>
      </c>
      <c r="U5" s="12" t="s">
        <v>18</v>
      </c>
      <c r="V5" s="12" t="s">
        <v>19</v>
      </c>
      <c r="W5" s="7"/>
      <c r="Y5" s="14" t="s">
        <v>20</v>
      </c>
      <c r="AB5" s="68">
        <v>2016</v>
      </c>
      <c r="AC5" s="13"/>
      <c r="AD5" s="68" t="s">
        <v>21</v>
      </c>
    </row>
    <row r="6" spans="1:30">
      <c r="A6" s="12"/>
      <c r="B6" s="12" t="s">
        <v>22</v>
      </c>
      <c r="C6" s="12" t="s">
        <v>23</v>
      </c>
      <c r="D6" s="12" t="s">
        <v>24</v>
      </c>
      <c r="E6" s="12" t="s">
        <v>25</v>
      </c>
      <c r="F6" s="12" t="s">
        <v>26</v>
      </c>
      <c r="G6" s="12" t="s">
        <v>27</v>
      </c>
      <c r="H6" s="12" t="s">
        <v>28</v>
      </c>
      <c r="I6" s="12" t="s">
        <v>29</v>
      </c>
      <c r="J6" s="12" t="s">
        <v>30</v>
      </c>
      <c r="K6" s="12" t="s">
        <v>31</v>
      </c>
      <c r="L6" s="12" t="s">
        <v>32</v>
      </c>
      <c r="M6" s="12" t="s">
        <v>33</v>
      </c>
      <c r="N6" s="120" t="s">
        <v>34</v>
      </c>
      <c r="O6" s="120" t="s">
        <v>35</v>
      </c>
      <c r="P6" s="12" t="s">
        <v>36</v>
      </c>
      <c r="Q6" s="12" t="s">
        <v>37</v>
      </c>
      <c r="R6" s="12" t="s">
        <v>38</v>
      </c>
      <c r="S6" s="12" t="s">
        <v>37</v>
      </c>
      <c r="T6" s="12" t="s">
        <v>39</v>
      </c>
      <c r="U6" s="12" t="s">
        <v>40</v>
      </c>
      <c r="V6" s="12" t="s">
        <v>41</v>
      </c>
      <c r="W6" s="12" t="s">
        <v>36</v>
      </c>
      <c r="Y6" s="31" t="s">
        <v>42</v>
      </c>
      <c r="Z6" s="31" t="s">
        <v>36</v>
      </c>
      <c r="AB6" s="31" t="s">
        <v>43</v>
      </c>
      <c r="AC6" s="31" t="s">
        <v>36</v>
      </c>
      <c r="AD6" s="31" t="s">
        <v>36</v>
      </c>
    </row>
    <row r="7" spans="1:30">
      <c r="A7" s="1" t="s">
        <v>44</v>
      </c>
      <c r="B7" s="12"/>
      <c r="C7" s="12"/>
      <c r="D7" s="12"/>
      <c r="E7" s="12"/>
      <c r="F7" s="12"/>
      <c r="G7" s="12"/>
      <c r="H7" s="12"/>
      <c r="I7" s="12"/>
      <c r="J7" s="12"/>
      <c r="K7" s="12"/>
      <c r="L7" s="12"/>
      <c r="M7" s="12"/>
      <c r="N7" s="120"/>
      <c r="O7" s="120"/>
      <c r="P7" s="12"/>
      <c r="Q7" s="12"/>
      <c r="R7" s="12"/>
      <c r="S7" s="12"/>
      <c r="T7" s="12"/>
      <c r="U7" s="12"/>
      <c r="V7" s="12"/>
      <c r="W7" s="12"/>
    </row>
    <row r="8" spans="1:30">
      <c r="A8" s="1" t="s">
        <v>45</v>
      </c>
      <c r="B8" s="12"/>
      <c r="C8" s="12"/>
      <c r="D8" s="12"/>
      <c r="E8" s="12"/>
      <c r="F8" s="12"/>
      <c r="G8" s="12"/>
      <c r="H8" s="12"/>
      <c r="I8" s="12"/>
      <c r="J8" s="12"/>
      <c r="K8" s="12"/>
      <c r="L8" s="12"/>
      <c r="M8" s="12"/>
      <c r="N8" s="120"/>
      <c r="O8" s="120"/>
      <c r="P8" s="12"/>
      <c r="Q8" s="12"/>
      <c r="R8" s="12"/>
      <c r="S8" s="12"/>
      <c r="T8" s="12"/>
      <c r="U8" s="12"/>
      <c r="V8" s="12"/>
      <c r="W8" s="12"/>
    </row>
    <row r="9" spans="1:30">
      <c r="A9" s="7" t="s">
        <v>46</v>
      </c>
    </row>
    <row r="10" spans="1:30">
      <c r="A10" s="15" t="s">
        <v>47</v>
      </c>
      <c r="B10" s="13">
        <f>'Income - Overall'!B10</f>
        <v>5873</v>
      </c>
      <c r="C10" s="13">
        <f>'Income - Overall'!C10</f>
        <v>6113</v>
      </c>
      <c r="D10" s="13">
        <f>'Income - Overall'!D10</f>
        <v>6308</v>
      </c>
      <c r="E10" s="13">
        <f t="shared" ref="E10:M15" si="0">AVERAGE($B10:$D10)</f>
        <v>6098</v>
      </c>
      <c r="F10" s="13">
        <f t="shared" si="0"/>
        <v>6098</v>
      </c>
      <c r="G10" s="13">
        <f t="shared" si="0"/>
        <v>6098</v>
      </c>
      <c r="H10" s="13">
        <f t="shared" si="0"/>
        <v>6098</v>
      </c>
      <c r="I10" s="13">
        <f t="shared" si="0"/>
        <v>6098</v>
      </c>
      <c r="J10" s="13">
        <f t="shared" si="0"/>
        <v>6098</v>
      </c>
      <c r="K10" s="13">
        <f>AVERAGE($B10:$D10)</f>
        <v>6098</v>
      </c>
      <c r="L10" s="13">
        <f>AVERAGE($B10:$D10)</f>
        <v>6098</v>
      </c>
      <c r="M10" s="13">
        <f>AVERAGE($B10:$D10)</f>
        <v>6098</v>
      </c>
      <c r="N10" s="13">
        <f t="shared" ref="N10:N15" si="1">SUM(B10:M10)</f>
        <v>73176</v>
      </c>
      <c r="O10" s="13"/>
      <c r="P10" s="13">
        <f t="shared" ref="P10:P15" si="2">N10-O10</f>
        <v>73176</v>
      </c>
      <c r="Q10" s="13"/>
      <c r="R10" s="13"/>
      <c r="S10" s="13"/>
      <c r="T10" s="13"/>
      <c r="U10" s="13"/>
      <c r="V10" s="13"/>
      <c r="W10" s="13">
        <f t="shared" ref="W10:W15" si="3">SUM(P10:V10)</f>
        <v>73176</v>
      </c>
      <c r="Y10" s="13">
        <f>SUMIF('Income - OverallBUD'!$C$2:$N$2,'Income - Forecast'!$Y$2,'Income - OverallBUD'!$C10:$N10)</f>
        <v>62400</v>
      </c>
      <c r="Z10" s="13">
        <f t="shared" ref="Z10:Z15" si="4">N10-Y10</f>
        <v>10776</v>
      </c>
      <c r="AB10" s="13">
        <f ca="1">SUMIF('Income - OverallPY'!$B$2:$N$2,'Income - Forecast'!$AB$2,'Income - OverallPY'!$B10:$M10)</f>
        <v>76966.760000000009</v>
      </c>
      <c r="AC10" s="13">
        <f t="shared" ref="AC10:AC15" ca="1" si="5">N10-AB10</f>
        <v>-3790.7600000000093</v>
      </c>
      <c r="AD10" s="124">
        <f ca="1">IF(ISERROR((N10/AB10)-1),"-",(N10/AB10)-1)</f>
        <v>-4.9251910824880896E-2</v>
      </c>
    </row>
    <row r="11" spans="1:30">
      <c r="A11" s="15" t="s">
        <v>48</v>
      </c>
      <c r="B11" s="13">
        <f>'Income - Overall'!B11</f>
        <v>502</v>
      </c>
      <c r="C11" s="13">
        <f>'Income - Overall'!C11</f>
        <v>452</v>
      </c>
      <c r="D11" s="13">
        <f>'Income - Overall'!D11</f>
        <v>470</v>
      </c>
      <c r="E11" s="13">
        <f t="shared" si="0"/>
        <v>474.66666666666669</v>
      </c>
      <c r="F11" s="13">
        <f t="shared" si="0"/>
        <v>474.66666666666669</v>
      </c>
      <c r="G11" s="13">
        <f t="shared" si="0"/>
        <v>474.66666666666669</v>
      </c>
      <c r="H11" s="13">
        <f t="shared" si="0"/>
        <v>474.66666666666669</v>
      </c>
      <c r="I11" s="13">
        <f t="shared" si="0"/>
        <v>474.66666666666669</v>
      </c>
      <c r="J11" s="13">
        <f t="shared" si="0"/>
        <v>474.66666666666669</v>
      </c>
      <c r="K11" s="13">
        <f t="shared" si="0"/>
        <v>474.66666666666669</v>
      </c>
      <c r="L11" s="13">
        <f t="shared" si="0"/>
        <v>474.66666666666669</v>
      </c>
      <c r="M11" s="13">
        <f t="shared" si="0"/>
        <v>474.66666666666669</v>
      </c>
      <c r="N11" s="13">
        <f t="shared" si="1"/>
        <v>5696.0000000000009</v>
      </c>
      <c r="O11" s="13"/>
      <c r="P11" s="13">
        <f t="shared" si="2"/>
        <v>5696.0000000000009</v>
      </c>
      <c r="Q11" s="13"/>
      <c r="R11" s="13"/>
      <c r="S11" s="13"/>
      <c r="T11" s="13"/>
      <c r="U11" s="13"/>
      <c r="V11" s="13"/>
      <c r="W11" s="13">
        <f t="shared" si="3"/>
        <v>5696.0000000000009</v>
      </c>
      <c r="Y11" s="13">
        <f>SUMIF('Income - OverallBUD'!$C$2:$N$2,'Income - Forecast'!$Y$2,'Income - OverallBUD'!$C11:$N11)</f>
        <v>6600</v>
      </c>
      <c r="Z11" s="13">
        <f t="shared" si="4"/>
        <v>-903.99999999999909</v>
      </c>
      <c r="AB11" s="13">
        <f ca="1">SUMIF('Income - OverallPY'!$B$2:$N$2,'Income - Forecast'!$AB$2,'Income - OverallPY'!$B11:$M11)</f>
        <v>5343</v>
      </c>
      <c r="AC11" s="13">
        <f t="shared" ca="1" si="5"/>
        <v>353.00000000000091</v>
      </c>
      <c r="AD11" s="124">
        <f t="shared" ref="AD11:AD16" ca="1" si="6">IF(ISERROR((N11/AB11)-1),"-",(N11/AB11)-1)</f>
        <v>6.6067752199139296E-2</v>
      </c>
    </row>
    <row r="12" spans="1:30">
      <c r="A12" s="15" t="s">
        <v>49</v>
      </c>
      <c r="B12" s="13">
        <f>'Income - Overall'!B12</f>
        <v>470.62</v>
      </c>
      <c r="C12" s="13">
        <f>'Income - Overall'!C12</f>
        <v>514.53</v>
      </c>
      <c r="D12" s="13">
        <f>'Income - Overall'!D12</f>
        <v>606.79999999999995</v>
      </c>
      <c r="E12" s="13">
        <f t="shared" si="0"/>
        <v>530.65</v>
      </c>
      <c r="F12" s="13">
        <f t="shared" si="0"/>
        <v>530.65</v>
      </c>
      <c r="G12" s="13">
        <f t="shared" si="0"/>
        <v>530.65</v>
      </c>
      <c r="H12" s="13">
        <f t="shared" si="0"/>
        <v>530.65</v>
      </c>
      <c r="I12" s="13">
        <f t="shared" si="0"/>
        <v>530.65</v>
      </c>
      <c r="J12" s="13">
        <f t="shared" si="0"/>
        <v>530.65</v>
      </c>
      <c r="K12" s="13">
        <f t="shared" si="0"/>
        <v>530.65</v>
      </c>
      <c r="L12" s="13">
        <f t="shared" si="0"/>
        <v>530.65</v>
      </c>
      <c r="M12" s="13">
        <f t="shared" si="0"/>
        <v>530.65</v>
      </c>
      <c r="N12" s="13">
        <f>SUM(B12:M12)</f>
        <v>6367.7999999999984</v>
      </c>
      <c r="O12" s="13"/>
      <c r="P12" s="13">
        <f t="shared" si="2"/>
        <v>6367.7999999999984</v>
      </c>
      <c r="Q12" s="13"/>
      <c r="R12" s="13"/>
      <c r="S12" s="13"/>
      <c r="T12" s="13"/>
      <c r="U12" s="13"/>
      <c r="V12" s="13"/>
      <c r="W12" s="13">
        <f t="shared" si="3"/>
        <v>6367.7999999999984</v>
      </c>
      <c r="Y12" s="13">
        <f>SUMIF('Income - OverallBUD'!$C$2:$N$2,'Income - Forecast'!$Y$2,'Income - OverallBUD'!$C12:$N12)</f>
        <v>0</v>
      </c>
      <c r="Z12" s="13">
        <f t="shared" si="4"/>
        <v>6367.7999999999984</v>
      </c>
      <c r="AB12" s="13">
        <f ca="1">SUMIF('Income - OverallPY'!$B$2:$N$2,'Income - Forecast'!$AB$2,'Income - OverallPY'!$B12:$M12)</f>
        <v>1570</v>
      </c>
      <c r="AC12" s="13">
        <f t="shared" ca="1" si="5"/>
        <v>4797.7999999999984</v>
      </c>
      <c r="AD12" s="124">
        <f t="shared" ca="1" si="6"/>
        <v>3.0559235668789801</v>
      </c>
    </row>
    <row r="13" spans="1:30">
      <c r="A13" s="15" t="s">
        <v>50</v>
      </c>
      <c r="B13" s="13">
        <f>'Income - Overall'!B13</f>
        <v>0</v>
      </c>
      <c r="C13" s="13">
        <f>'Income - Overall'!C13</f>
        <v>0</v>
      </c>
      <c r="D13" s="13">
        <f>'Income - Overall'!D13</f>
        <v>0</v>
      </c>
      <c r="E13" s="13">
        <f t="shared" si="0"/>
        <v>0</v>
      </c>
      <c r="F13" s="13">
        <f t="shared" si="0"/>
        <v>0</v>
      </c>
      <c r="G13" s="13">
        <f t="shared" si="0"/>
        <v>0</v>
      </c>
      <c r="H13" s="13">
        <f t="shared" si="0"/>
        <v>0</v>
      </c>
      <c r="I13" s="13">
        <f t="shared" si="0"/>
        <v>0</v>
      </c>
      <c r="J13" s="13">
        <f t="shared" si="0"/>
        <v>0</v>
      </c>
      <c r="K13" s="13">
        <f t="shared" si="0"/>
        <v>0</v>
      </c>
      <c r="L13" s="13">
        <f t="shared" si="0"/>
        <v>0</v>
      </c>
      <c r="M13" s="13">
        <f t="shared" si="0"/>
        <v>0</v>
      </c>
      <c r="N13" s="13">
        <f t="shared" si="1"/>
        <v>0</v>
      </c>
      <c r="O13" s="13"/>
      <c r="P13" s="13">
        <f t="shared" si="2"/>
        <v>0</v>
      </c>
      <c r="Q13" s="13"/>
      <c r="R13" s="13"/>
      <c r="S13" s="13"/>
      <c r="T13" s="13"/>
      <c r="U13" s="13"/>
      <c r="V13" s="13"/>
      <c r="W13" s="13">
        <f t="shared" si="3"/>
        <v>0</v>
      </c>
      <c r="Y13" s="13">
        <f>SUMIF('Income - OverallBUD'!$C$2:$N$2,'Income - Forecast'!$Y$2,'Income - OverallBUD'!$C13:$N13)</f>
        <v>1080</v>
      </c>
      <c r="Z13" s="13">
        <f t="shared" si="4"/>
        <v>-1080</v>
      </c>
      <c r="AB13" s="13">
        <f ca="1">SUMIF('Income - OverallPY'!$B$2:$N$2,'Income - Forecast'!$AB$2,'Income - OverallPY'!$B13:$M13)</f>
        <v>2450</v>
      </c>
      <c r="AC13" s="13">
        <f t="shared" ca="1" si="5"/>
        <v>-2450</v>
      </c>
      <c r="AD13" s="124">
        <f t="shared" ca="1" si="6"/>
        <v>-1</v>
      </c>
    </row>
    <row r="14" spans="1:30">
      <c r="A14" s="15" t="s">
        <v>51</v>
      </c>
      <c r="B14" s="13">
        <f>'Income - Overall'!B14</f>
        <v>469.66</v>
      </c>
      <c r="C14" s="13">
        <f>'Income - Overall'!C14</f>
        <v>597.41</v>
      </c>
      <c r="D14" s="13">
        <f>'Income - Overall'!D14</f>
        <v>300.5</v>
      </c>
      <c r="E14" s="13">
        <f t="shared" si="0"/>
        <v>455.85666666666663</v>
      </c>
      <c r="F14" s="13">
        <f t="shared" si="0"/>
        <v>455.85666666666663</v>
      </c>
      <c r="G14" s="13">
        <f t="shared" si="0"/>
        <v>455.85666666666663</v>
      </c>
      <c r="H14" s="13">
        <f t="shared" si="0"/>
        <v>455.85666666666663</v>
      </c>
      <c r="I14" s="13">
        <f t="shared" si="0"/>
        <v>455.85666666666663</v>
      </c>
      <c r="J14" s="13">
        <f t="shared" si="0"/>
        <v>455.85666666666663</v>
      </c>
      <c r="K14" s="13">
        <f t="shared" si="0"/>
        <v>455.85666666666663</v>
      </c>
      <c r="L14" s="13">
        <f t="shared" si="0"/>
        <v>455.85666666666663</v>
      </c>
      <c r="M14" s="13">
        <f t="shared" si="0"/>
        <v>455.85666666666663</v>
      </c>
      <c r="N14" s="13">
        <f t="shared" si="1"/>
        <v>5470.28</v>
      </c>
      <c r="O14" s="13"/>
      <c r="P14" s="13">
        <f t="shared" si="2"/>
        <v>5470.28</v>
      </c>
      <c r="Q14" s="13"/>
      <c r="R14" s="13"/>
      <c r="S14" s="13"/>
      <c r="T14" s="13"/>
      <c r="U14" s="13"/>
      <c r="V14" s="13"/>
      <c r="W14" s="13">
        <f t="shared" si="3"/>
        <v>5470.28</v>
      </c>
      <c r="Y14" s="13">
        <f>SUMIF('Income - OverallBUD'!$C$2:$N$2,'Income - Forecast'!$Y$2,'Income - OverallBUD'!$C14:$N14)</f>
        <v>6900</v>
      </c>
      <c r="Z14" s="13">
        <f t="shared" si="4"/>
        <v>-1429.7200000000003</v>
      </c>
      <c r="AB14" s="13">
        <f ca="1">SUMIF('Income - OverallPY'!$B$2:$N$2,'Income - Forecast'!$AB$2,'Income - OverallPY'!$B14:$M14)</f>
        <v>6871.25</v>
      </c>
      <c r="AC14" s="13">
        <f t="shared" ca="1" si="5"/>
        <v>-1400.9700000000003</v>
      </c>
      <c r="AD14" s="124">
        <f t="shared" ca="1" si="6"/>
        <v>-0.2038886665453884</v>
      </c>
    </row>
    <row r="15" spans="1:30">
      <c r="A15" s="15" t="s">
        <v>52</v>
      </c>
      <c r="B15" s="13">
        <f>'Income - Overall'!B15</f>
        <v>0</v>
      </c>
      <c r="C15" s="13">
        <f>'Income - Overall'!C15</f>
        <v>0</v>
      </c>
      <c r="D15" s="13">
        <f>'Income - Overall'!D15</f>
        <v>0</v>
      </c>
      <c r="E15" s="13">
        <f t="shared" si="0"/>
        <v>0</v>
      </c>
      <c r="F15" s="13">
        <f t="shared" si="0"/>
        <v>0</v>
      </c>
      <c r="G15" s="13">
        <f t="shared" si="0"/>
        <v>0</v>
      </c>
      <c r="H15" s="13">
        <f t="shared" si="0"/>
        <v>0</v>
      </c>
      <c r="I15" s="13">
        <f t="shared" si="0"/>
        <v>0</v>
      </c>
      <c r="J15" s="13">
        <f t="shared" si="0"/>
        <v>0</v>
      </c>
      <c r="K15" s="13">
        <f t="shared" si="0"/>
        <v>0</v>
      </c>
      <c r="L15" s="13">
        <f t="shared" si="0"/>
        <v>0</v>
      </c>
      <c r="M15" s="13">
        <f t="shared" si="0"/>
        <v>0</v>
      </c>
      <c r="N15" s="13">
        <f t="shared" si="1"/>
        <v>0</v>
      </c>
      <c r="O15" s="13"/>
      <c r="P15" s="13">
        <f t="shared" si="2"/>
        <v>0</v>
      </c>
      <c r="Q15" s="13"/>
      <c r="R15" s="13"/>
      <c r="S15" s="13"/>
      <c r="T15" s="13"/>
      <c r="U15" s="13"/>
      <c r="V15" s="13"/>
      <c r="W15" s="13">
        <f t="shared" si="3"/>
        <v>0</v>
      </c>
      <c r="Y15" s="13">
        <f>SUMIF('Income - OverallBUD'!$C$2:$N$2,'Income - Forecast'!$Y$2,'Income - OverallBUD'!$C15:$N15)</f>
        <v>4200</v>
      </c>
      <c r="Z15" s="13">
        <f t="shared" si="4"/>
        <v>-4200</v>
      </c>
      <c r="AB15" s="13">
        <f ca="1">SUMIF('Income - OverallPY'!$B$2:$N$2,'Income - Forecast'!$AB$2,'Income - OverallPY'!$B15:$M15)</f>
        <v>3968.8699999999994</v>
      </c>
      <c r="AC15" s="13">
        <f t="shared" ca="1" si="5"/>
        <v>-3968.8699999999994</v>
      </c>
      <c r="AD15" s="124">
        <f t="shared" ca="1" si="6"/>
        <v>-1</v>
      </c>
    </row>
    <row r="16" spans="1:30">
      <c r="A16" s="7" t="s">
        <v>53</v>
      </c>
      <c r="B16" s="26">
        <f t="shared" ref="B16:AC16" si="7">SUM(B10:B15)</f>
        <v>7315.28</v>
      </c>
      <c r="C16" s="26">
        <f t="shared" si="7"/>
        <v>7676.94</v>
      </c>
      <c r="D16" s="26">
        <f t="shared" si="7"/>
        <v>7685.3</v>
      </c>
      <c r="E16" s="26">
        <f t="shared" si="7"/>
        <v>7559.1733333333332</v>
      </c>
      <c r="F16" s="26">
        <f t="shared" si="7"/>
        <v>7559.1733333333332</v>
      </c>
      <c r="G16" s="26">
        <f t="shared" si="7"/>
        <v>7559.1733333333332</v>
      </c>
      <c r="H16" s="26">
        <f t="shared" si="7"/>
        <v>7559.1733333333332</v>
      </c>
      <c r="I16" s="26">
        <f t="shared" si="7"/>
        <v>7559.1733333333332</v>
      </c>
      <c r="J16" s="26">
        <f t="shared" si="7"/>
        <v>7559.1733333333332</v>
      </c>
      <c r="K16" s="26">
        <f t="shared" si="7"/>
        <v>7559.1733333333332</v>
      </c>
      <c r="L16" s="26">
        <f t="shared" si="7"/>
        <v>7559.1733333333332</v>
      </c>
      <c r="M16" s="26">
        <f t="shared" si="7"/>
        <v>7559.1733333333332</v>
      </c>
      <c r="N16" s="26">
        <f t="shared" si="7"/>
        <v>90710.080000000002</v>
      </c>
      <c r="O16" s="26">
        <f t="shared" si="7"/>
        <v>0</v>
      </c>
      <c r="P16" s="26">
        <f t="shared" si="7"/>
        <v>90710.080000000002</v>
      </c>
      <c r="Q16" s="26">
        <f t="shared" si="7"/>
        <v>0</v>
      </c>
      <c r="R16" s="26">
        <f t="shared" si="7"/>
        <v>0</v>
      </c>
      <c r="S16" s="26">
        <f t="shared" si="7"/>
        <v>0</v>
      </c>
      <c r="T16" s="26">
        <f>SUM(T10:T15)</f>
        <v>0</v>
      </c>
      <c r="U16" s="26">
        <f>SUM(U10:U15)</f>
        <v>0</v>
      </c>
      <c r="V16" s="26">
        <f t="shared" si="7"/>
        <v>0</v>
      </c>
      <c r="W16" s="26">
        <f t="shared" si="7"/>
        <v>90710.080000000002</v>
      </c>
      <c r="Y16" s="26">
        <f t="shared" si="7"/>
        <v>81180</v>
      </c>
      <c r="Z16" s="26">
        <f t="shared" si="7"/>
        <v>9530.0799999999981</v>
      </c>
      <c r="AB16" s="26">
        <f t="shared" ca="1" si="7"/>
        <v>97169.88</v>
      </c>
      <c r="AC16" s="26">
        <f t="shared" ca="1" si="7"/>
        <v>-6459.8000000000102</v>
      </c>
      <c r="AD16" s="135">
        <f t="shared" ca="1" si="6"/>
        <v>-6.6479448158215271E-2</v>
      </c>
    </row>
    <row r="17" spans="1:30">
      <c r="A17" s="7"/>
      <c r="B17" s="30"/>
      <c r="C17" s="30"/>
      <c r="D17" s="30"/>
      <c r="E17" s="30"/>
      <c r="F17" s="30"/>
      <c r="G17" s="30"/>
      <c r="H17" s="30"/>
      <c r="I17" s="30"/>
      <c r="J17" s="30"/>
      <c r="K17" s="30"/>
      <c r="L17" s="30"/>
      <c r="M17" s="30"/>
      <c r="N17" s="30"/>
      <c r="O17" s="30"/>
      <c r="P17" s="30"/>
      <c r="Q17" s="30"/>
      <c r="R17" s="30"/>
      <c r="S17" s="30"/>
      <c r="T17" s="30"/>
      <c r="U17" s="30"/>
      <c r="V17" s="30"/>
      <c r="W17" s="30"/>
      <c r="Y17" s="30"/>
      <c r="Z17" s="30"/>
      <c r="AB17" s="30"/>
      <c r="AC17" s="30"/>
      <c r="AD17" s="137"/>
    </row>
    <row r="18" spans="1:30">
      <c r="A18" s="7" t="s">
        <v>54</v>
      </c>
      <c r="B18" s="30"/>
      <c r="C18" s="30"/>
      <c r="D18" s="30"/>
      <c r="E18" s="30"/>
      <c r="F18" s="30"/>
      <c r="G18" s="30"/>
      <c r="H18" s="30"/>
      <c r="I18" s="30"/>
      <c r="J18" s="30"/>
      <c r="K18" s="30"/>
      <c r="L18" s="30"/>
      <c r="M18" s="30"/>
      <c r="N18" s="30"/>
      <c r="O18" s="30"/>
      <c r="P18" s="30"/>
      <c r="Q18" s="30"/>
      <c r="R18" s="30"/>
      <c r="S18" s="30"/>
      <c r="T18" s="30"/>
      <c r="U18" s="30"/>
      <c r="V18" s="30"/>
      <c r="W18" s="30"/>
      <c r="Y18" s="30"/>
      <c r="Z18" s="30"/>
      <c r="AB18" s="30"/>
      <c r="AC18" s="30"/>
      <c r="AD18" s="137"/>
    </row>
    <row r="19" spans="1:30">
      <c r="A19" s="15" t="s">
        <v>47</v>
      </c>
      <c r="B19" s="13">
        <f>'Income - Overall'!B19</f>
        <v>1918</v>
      </c>
      <c r="C19" s="13">
        <f>'Income - Overall'!C19</f>
        <v>2291.7199999999998</v>
      </c>
      <c r="D19" s="13">
        <f>'Income - Overall'!D19</f>
        <v>1628</v>
      </c>
      <c r="E19" s="13">
        <f t="shared" ref="E19:M22" si="8">AVERAGE($B19:$D19)</f>
        <v>1945.9066666666665</v>
      </c>
      <c r="F19" s="13">
        <f t="shared" si="8"/>
        <v>1945.9066666666665</v>
      </c>
      <c r="G19" s="13">
        <f t="shared" si="8"/>
        <v>1945.9066666666665</v>
      </c>
      <c r="H19" s="13">
        <f t="shared" si="8"/>
        <v>1945.9066666666665</v>
      </c>
      <c r="I19" s="13">
        <f t="shared" si="8"/>
        <v>1945.9066666666665</v>
      </c>
      <c r="J19" s="13">
        <f t="shared" si="8"/>
        <v>1945.9066666666665</v>
      </c>
      <c r="K19" s="13">
        <f t="shared" si="8"/>
        <v>1945.9066666666665</v>
      </c>
      <c r="L19" s="13">
        <f t="shared" si="8"/>
        <v>1945.9066666666665</v>
      </c>
      <c r="M19" s="13">
        <f t="shared" si="8"/>
        <v>1945.9066666666665</v>
      </c>
      <c r="N19" s="13">
        <f>SUM(B19:M19)</f>
        <v>23350.879999999994</v>
      </c>
      <c r="O19" s="13"/>
      <c r="P19" s="13">
        <f>N19-O19</f>
        <v>23350.879999999994</v>
      </c>
      <c r="Q19" s="13"/>
      <c r="R19" s="13"/>
      <c r="S19" s="13"/>
      <c r="T19" s="13"/>
      <c r="U19" s="13"/>
      <c r="V19" s="13"/>
      <c r="W19" s="13">
        <f>SUM(P19:V19)</f>
        <v>23350.879999999994</v>
      </c>
      <c r="Y19" s="13">
        <f>SUMIF('Income - OverallBUD'!$C$2:$N$2,'Income - Forecast'!$Y$2,'Income - OverallBUD'!$C19:$N19)</f>
        <v>36600</v>
      </c>
      <c r="Z19" s="13">
        <f>N19-Y19</f>
        <v>-13249.120000000006</v>
      </c>
      <c r="AB19" s="13">
        <f ca="1">SUMIF('Income - OverallPY'!$B$2:$N$2,'Income - Forecast'!$AB$2,'Income - OverallPY'!$B19:$M19)</f>
        <v>18154.5</v>
      </c>
      <c r="AC19" s="13">
        <f ca="1">N19-AB19</f>
        <v>5196.3799999999937</v>
      </c>
      <c r="AD19" s="124">
        <f ca="1">IF(ISERROR((N19/AB19)-1),"-",(N19/AB19)-1)</f>
        <v>0.2862309620204353</v>
      </c>
    </row>
    <row r="20" spans="1:30">
      <c r="A20" s="15" t="s">
        <v>48</v>
      </c>
      <c r="B20" s="13">
        <f>'Income - Overall'!B20</f>
        <v>530.30999999999995</v>
      </c>
      <c r="C20" s="13">
        <f>'Income - Overall'!C20</f>
        <v>224.31</v>
      </c>
      <c r="D20" s="13">
        <f>'Income - Overall'!D20</f>
        <v>924.31</v>
      </c>
      <c r="E20" s="13">
        <f t="shared" si="8"/>
        <v>559.64333333333332</v>
      </c>
      <c r="F20" s="13">
        <f t="shared" si="8"/>
        <v>559.64333333333332</v>
      </c>
      <c r="G20" s="13">
        <f t="shared" si="8"/>
        <v>559.64333333333332</v>
      </c>
      <c r="H20" s="13">
        <f t="shared" si="8"/>
        <v>559.64333333333332</v>
      </c>
      <c r="I20" s="13">
        <f t="shared" si="8"/>
        <v>559.64333333333332</v>
      </c>
      <c r="J20" s="13">
        <f t="shared" si="8"/>
        <v>559.64333333333332</v>
      </c>
      <c r="K20" s="13">
        <f t="shared" si="8"/>
        <v>559.64333333333332</v>
      </c>
      <c r="L20" s="13">
        <f t="shared" si="8"/>
        <v>559.64333333333332</v>
      </c>
      <c r="M20" s="13">
        <f t="shared" si="8"/>
        <v>559.64333333333332</v>
      </c>
      <c r="N20" s="13">
        <f>SUM(B20:M20)</f>
        <v>6715.72</v>
      </c>
      <c r="O20" s="13"/>
      <c r="P20" s="13">
        <f>N20-O20</f>
        <v>6715.72</v>
      </c>
      <c r="Q20" s="13"/>
      <c r="R20" s="13"/>
      <c r="S20" s="13"/>
      <c r="T20" s="13"/>
      <c r="U20" s="13"/>
      <c r="V20" s="13"/>
      <c r="W20" s="13">
        <f>SUM(P20:V20)</f>
        <v>6715.72</v>
      </c>
      <c r="Y20" s="13">
        <f>SUMIF('Income - OverallBUD'!$C$2:$N$2,'Income - Forecast'!$Y$2,'Income - OverallBUD'!$C20:$N20)</f>
        <v>6600</v>
      </c>
      <c r="Z20" s="13">
        <f>N20-Y20</f>
        <v>115.72000000000025</v>
      </c>
      <c r="AB20" s="13">
        <f ca="1">SUMIF('Income - OverallPY'!$B$2:$N$2,'Income - Forecast'!$AB$2,'Income - OverallPY'!$B20:$M20)</f>
        <v>6722.3099999999995</v>
      </c>
      <c r="AC20" s="13">
        <f ca="1">N20-AB20</f>
        <v>-6.589999999999236</v>
      </c>
      <c r="AD20" s="124">
        <f ca="1">IF(ISERROR((N20/AB20)-1),"-",(N20/AB20)-1)</f>
        <v>-9.8031777766860451E-4</v>
      </c>
    </row>
    <row r="21" spans="1:30">
      <c r="A21" s="15" t="s">
        <v>49</v>
      </c>
      <c r="B21" s="13">
        <f>'Income - Overall'!B21</f>
        <v>0</v>
      </c>
      <c r="C21" s="13">
        <f>'Income - Overall'!C21</f>
        <v>0</v>
      </c>
      <c r="D21" s="13">
        <f>'Income - Overall'!D21</f>
        <v>0</v>
      </c>
      <c r="E21" s="13">
        <f t="shared" si="8"/>
        <v>0</v>
      </c>
      <c r="F21" s="13">
        <f t="shared" si="8"/>
        <v>0</v>
      </c>
      <c r="G21" s="13">
        <f t="shared" si="8"/>
        <v>0</v>
      </c>
      <c r="H21" s="13">
        <f t="shared" si="8"/>
        <v>0</v>
      </c>
      <c r="I21" s="13">
        <f t="shared" si="8"/>
        <v>0</v>
      </c>
      <c r="J21" s="13">
        <f t="shared" si="8"/>
        <v>0</v>
      </c>
      <c r="K21" s="13">
        <f t="shared" si="8"/>
        <v>0</v>
      </c>
      <c r="L21" s="13">
        <f t="shared" si="8"/>
        <v>0</v>
      </c>
      <c r="M21" s="13">
        <f t="shared" si="8"/>
        <v>0</v>
      </c>
      <c r="N21" s="13">
        <f>SUM(B21:M21)</f>
        <v>0</v>
      </c>
      <c r="O21" s="13"/>
      <c r="P21" s="13">
        <f>N21-O21</f>
        <v>0</v>
      </c>
      <c r="Q21" s="13"/>
      <c r="R21" s="13"/>
      <c r="S21" s="13"/>
      <c r="T21" s="13"/>
      <c r="U21" s="13"/>
      <c r="V21" s="13"/>
      <c r="W21" s="13">
        <f>SUM(P21:V21)</f>
        <v>0</v>
      </c>
      <c r="Y21" s="13">
        <f>SUMIF('Income - OverallBUD'!$C$2:$N$2,'Income - Forecast'!$Y$2,'Income - OverallBUD'!$C21:$N21)</f>
        <v>0</v>
      </c>
      <c r="Z21" s="13">
        <f>N21-Y21</f>
        <v>0</v>
      </c>
      <c r="AB21" s="13">
        <f ca="1">SUMIF('Income - OverallPY'!$B$2:$N$2,'Income - Forecast'!$AB$2,'Income - OverallPY'!$B21:$M21)</f>
        <v>2394.15</v>
      </c>
      <c r="AC21" s="13">
        <f ca="1">N21-AB21</f>
        <v>-2394.15</v>
      </c>
      <c r="AD21" s="124">
        <f ca="1">IF(ISERROR((N21/AB21)-1),"-",(N21/AB21)-1)</f>
        <v>-1</v>
      </c>
    </row>
    <row r="22" spans="1:30">
      <c r="A22" s="15" t="s">
        <v>50</v>
      </c>
      <c r="B22" s="13">
        <f>'Income - Overall'!B22</f>
        <v>0</v>
      </c>
      <c r="C22" s="13">
        <f>'Income - Overall'!C22</f>
        <v>0</v>
      </c>
      <c r="D22" s="13">
        <f>'Income - Overall'!D22</f>
        <v>0</v>
      </c>
      <c r="E22" s="13">
        <f t="shared" si="8"/>
        <v>0</v>
      </c>
      <c r="F22" s="13">
        <f t="shared" si="8"/>
        <v>0</v>
      </c>
      <c r="G22" s="13">
        <f t="shared" si="8"/>
        <v>0</v>
      </c>
      <c r="H22" s="13">
        <f t="shared" si="8"/>
        <v>0</v>
      </c>
      <c r="I22" s="13">
        <f t="shared" si="8"/>
        <v>0</v>
      </c>
      <c r="J22" s="13">
        <f t="shared" si="8"/>
        <v>0</v>
      </c>
      <c r="K22" s="13">
        <f t="shared" si="8"/>
        <v>0</v>
      </c>
      <c r="L22" s="13">
        <f t="shared" si="8"/>
        <v>0</v>
      </c>
      <c r="M22" s="13">
        <f t="shared" si="8"/>
        <v>0</v>
      </c>
      <c r="N22" s="13">
        <f>SUM(B22:M22)</f>
        <v>0</v>
      </c>
      <c r="O22" s="13"/>
      <c r="P22" s="13">
        <f>N22-O22</f>
        <v>0</v>
      </c>
      <c r="Q22" s="13"/>
      <c r="R22" s="13"/>
      <c r="S22" s="13"/>
      <c r="T22" s="13"/>
      <c r="U22" s="13"/>
      <c r="V22" s="13"/>
      <c r="W22" s="13">
        <f>SUM(P22:V22)</f>
        <v>0</v>
      </c>
      <c r="Y22" s="13">
        <f>SUMIF('Income - OverallBUD'!$C$2:$N$2,'Income - Forecast'!$Y$2,'Income - OverallBUD'!$C22:$N22)</f>
        <v>180</v>
      </c>
      <c r="Z22" s="13">
        <f>N22-Y22</f>
        <v>-180</v>
      </c>
      <c r="AB22" s="13">
        <f ca="1">SUMIF('Income - OverallPY'!$B$2:$N$2,'Income - Forecast'!$AB$2,'Income - OverallPY'!$B22:$M22)</f>
        <v>0</v>
      </c>
      <c r="AC22" s="13">
        <f ca="1">N22-AB22</f>
        <v>0</v>
      </c>
      <c r="AD22" s="124" t="str">
        <f ca="1">IF(ISERROR((N22/AB22)-1),"-",(N22/AB22)-1)</f>
        <v>-</v>
      </c>
    </row>
    <row r="23" spans="1:30">
      <c r="A23" s="7" t="s">
        <v>55</v>
      </c>
      <c r="B23" s="26">
        <f>SUM(B19:B22)</f>
        <v>2448.31</v>
      </c>
      <c r="C23" s="26">
        <f t="shared" ref="C23:AC23" si="9">SUM(C19:C22)</f>
        <v>2516.0299999999997</v>
      </c>
      <c r="D23" s="26">
        <f t="shared" si="9"/>
        <v>2552.31</v>
      </c>
      <c r="E23" s="26">
        <f t="shared" si="9"/>
        <v>2505.5499999999997</v>
      </c>
      <c r="F23" s="26">
        <f t="shared" si="9"/>
        <v>2505.5499999999997</v>
      </c>
      <c r="G23" s="26">
        <f t="shared" si="9"/>
        <v>2505.5499999999997</v>
      </c>
      <c r="H23" s="26">
        <f t="shared" si="9"/>
        <v>2505.5499999999997</v>
      </c>
      <c r="I23" s="26">
        <f t="shared" si="9"/>
        <v>2505.5499999999997</v>
      </c>
      <c r="J23" s="26">
        <f t="shared" si="9"/>
        <v>2505.5499999999997</v>
      </c>
      <c r="K23" s="26">
        <f t="shared" si="9"/>
        <v>2505.5499999999997</v>
      </c>
      <c r="L23" s="26">
        <f t="shared" si="9"/>
        <v>2505.5499999999997</v>
      </c>
      <c r="M23" s="26">
        <f t="shared" si="9"/>
        <v>2505.5499999999997</v>
      </c>
      <c r="N23" s="26">
        <f t="shared" si="9"/>
        <v>30066.599999999995</v>
      </c>
      <c r="O23" s="26">
        <f t="shared" si="9"/>
        <v>0</v>
      </c>
      <c r="P23" s="26">
        <f t="shared" si="9"/>
        <v>30066.599999999995</v>
      </c>
      <c r="Q23" s="26">
        <f t="shared" si="9"/>
        <v>0</v>
      </c>
      <c r="R23" s="26">
        <f t="shared" si="9"/>
        <v>0</v>
      </c>
      <c r="S23" s="26">
        <f t="shared" si="9"/>
        <v>0</v>
      </c>
      <c r="T23" s="26">
        <f t="shared" si="9"/>
        <v>0</v>
      </c>
      <c r="U23" s="26">
        <f t="shared" si="9"/>
        <v>0</v>
      </c>
      <c r="V23" s="26">
        <f t="shared" si="9"/>
        <v>0</v>
      </c>
      <c r="W23" s="26">
        <f t="shared" si="9"/>
        <v>30066.599999999995</v>
      </c>
      <c r="Y23" s="26">
        <f t="shared" si="9"/>
        <v>43380</v>
      </c>
      <c r="Z23" s="26">
        <f t="shared" si="9"/>
        <v>-13313.400000000005</v>
      </c>
      <c r="AB23" s="26">
        <f t="shared" ca="1" si="9"/>
        <v>27270.959999999999</v>
      </c>
      <c r="AC23" s="26">
        <f t="shared" ca="1" si="9"/>
        <v>2795.6399999999944</v>
      </c>
      <c r="AD23" s="135">
        <f ca="1">IF(ISERROR((N23/AB23)-1),"-",(N23/AB23)-1)</f>
        <v>0.10251344287109787</v>
      </c>
    </row>
    <row r="24" spans="1:30">
      <c r="B24" s="13"/>
      <c r="C24" s="13"/>
      <c r="D24" s="13"/>
      <c r="E24" s="13"/>
      <c r="F24" s="13"/>
      <c r="G24" s="13"/>
      <c r="H24" s="13"/>
      <c r="I24" s="13"/>
      <c r="J24" s="13"/>
      <c r="K24" s="13"/>
      <c r="L24" s="13"/>
      <c r="M24" s="13"/>
      <c r="N24" s="13"/>
      <c r="O24" s="13"/>
      <c r="P24" s="13"/>
      <c r="Q24" s="13"/>
      <c r="R24" s="13"/>
      <c r="S24" s="13"/>
      <c r="T24" s="13"/>
      <c r="U24" s="13"/>
      <c r="V24" s="13"/>
      <c r="W24" s="13"/>
    </row>
    <row r="25" spans="1:30">
      <c r="A25" s="7" t="s">
        <v>56</v>
      </c>
      <c r="B25" s="13"/>
      <c r="C25" s="13"/>
      <c r="D25" s="13"/>
      <c r="E25" s="13"/>
      <c r="F25" s="13"/>
      <c r="G25" s="13"/>
      <c r="H25" s="13"/>
      <c r="I25" s="13"/>
      <c r="J25" s="13"/>
      <c r="K25" s="13"/>
      <c r="L25" s="13"/>
      <c r="M25" s="13"/>
      <c r="N25" s="13"/>
      <c r="O25" s="13"/>
      <c r="P25" s="13"/>
      <c r="Q25" s="13"/>
      <c r="R25" s="13"/>
      <c r="S25" s="13"/>
      <c r="T25" s="13"/>
      <c r="U25" s="13"/>
      <c r="V25" s="13"/>
      <c r="W25" s="13"/>
    </row>
    <row r="26" spans="1:30">
      <c r="A26" s="15" t="s">
        <v>57</v>
      </c>
      <c r="B26" s="13">
        <f>'Income - Overall'!B26</f>
        <v>0</v>
      </c>
      <c r="C26" s="13">
        <f>'Income - Overall'!C26</f>
        <v>0</v>
      </c>
      <c r="D26" s="13">
        <f>'Income - Overall'!D26</f>
        <v>7935.48</v>
      </c>
      <c r="E26" s="13">
        <f>'Income - Overall'!E26</f>
        <v>2015.53</v>
      </c>
      <c r="F26" s="13">
        <f>'Income - Overall'!F26</f>
        <v>2142.75</v>
      </c>
      <c r="G26" s="13">
        <f>'Income - Overall'!G26</f>
        <v>0</v>
      </c>
      <c r="H26" s="13">
        <f>'Income - Overall'!H26</f>
        <v>0</v>
      </c>
      <c r="I26" s="13">
        <f>'Income - Overall'!I26</f>
        <v>0</v>
      </c>
      <c r="J26" s="13">
        <f>'Income - Overall'!J26</f>
        <v>0</v>
      </c>
      <c r="K26" s="13"/>
      <c r="L26" s="13"/>
      <c r="M26" s="13"/>
      <c r="N26" s="13">
        <f>SUM(B26:M26)</f>
        <v>12093.76</v>
      </c>
      <c r="O26" s="13"/>
      <c r="P26" s="13">
        <f>N26-O26</f>
        <v>12093.76</v>
      </c>
      <c r="Q26" s="13"/>
      <c r="R26" s="13"/>
      <c r="S26" s="13"/>
      <c r="T26" s="13"/>
      <c r="U26" s="13"/>
      <c r="V26" s="13"/>
      <c r="W26" s="13">
        <f>SUM(P26:V26)</f>
        <v>12093.76</v>
      </c>
      <c r="Y26" s="13">
        <f>SUMIF('Income - OverallBUD'!$C$2:$N$2,'Income - Forecast'!$Y$2,'Income - OverallBUD'!$C26:$N26)</f>
        <v>24000</v>
      </c>
      <c r="Z26" s="13">
        <f>N26-Y26</f>
        <v>-11906.24</v>
      </c>
      <c r="AB26" s="13">
        <f ca="1">SUMIF('Income - OverallPY'!$B$2:$N$2,'Income - Forecast'!$AB$2,'Income - OverallPY'!$B26:$M26)</f>
        <v>22147.829999999998</v>
      </c>
      <c r="AC26" s="13">
        <f ca="1">N26-AB26</f>
        <v>-10054.069999999998</v>
      </c>
      <c r="AD26" s="124">
        <f ca="1">IF(ISERROR((N26/AB26)-1),"-",(N26/AB26)-1)</f>
        <v>-0.45395282517519775</v>
      </c>
    </row>
    <row r="27" spans="1:30">
      <c r="A27" s="15" t="s">
        <v>375</v>
      </c>
      <c r="B27" s="13" t="e">
        <f>'Income - Overall'!#REF!</f>
        <v>#REF!</v>
      </c>
      <c r="C27" s="13" t="e">
        <f>'Income - Overall'!#REF!</f>
        <v>#REF!</v>
      </c>
      <c r="D27" s="13" t="e">
        <f>'Income - Overall'!#REF!</f>
        <v>#REF!</v>
      </c>
      <c r="E27" s="13" t="e">
        <f t="shared" ref="E27:M27" si="10">AVERAGE($B27:$D27)</f>
        <v>#REF!</v>
      </c>
      <c r="F27" s="13" t="e">
        <f t="shared" si="10"/>
        <v>#REF!</v>
      </c>
      <c r="G27" s="13" t="e">
        <f t="shared" si="10"/>
        <v>#REF!</v>
      </c>
      <c r="H27" s="13" t="e">
        <f t="shared" si="10"/>
        <v>#REF!</v>
      </c>
      <c r="I27" s="13" t="e">
        <f t="shared" si="10"/>
        <v>#REF!</v>
      </c>
      <c r="J27" s="13" t="e">
        <f t="shared" si="10"/>
        <v>#REF!</v>
      </c>
      <c r="K27" s="13" t="e">
        <f t="shared" si="10"/>
        <v>#REF!</v>
      </c>
      <c r="L27" s="13" t="e">
        <f t="shared" si="10"/>
        <v>#REF!</v>
      </c>
      <c r="M27" s="13" t="e">
        <f t="shared" si="10"/>
        <v>#REF!</v>
      </c>
      <c r="N27" s="13" t="e">
        <f>SUM(B27:M27)</f>
        <v>#REF!</v>
      </c>
      <c r="O27" s="13"/>
      <c r="P27" s="13" t="e">
        <f>N27-O27</f>
        <v>#REF!</v>
      </c>
      <c r="Q27" s="13"/>
      <c r="R27" s="13"/>
      <c r="S27" s="13"/>
      <c r="T27" s="13"/>
      <c r="U27" s="13"/>
      <c r="V27" s="13"/>
      <c r="W27" s="13" t="e">
        <f>SUM(P27:V27)</f>
        <v>#REF!</v>
      </c>
      <c r="Y27" s="13">
        <v>0</v>
      </c>
      <c r="Z27" s="13" t="e">
        <f>N27-Y27</f>
        <v>#REF!</v>
      </c>
      <c r="AB27" s="13">
        <v>0</v>
      </c>
      <c r="AC27" s="13" t="e">
        <f>N27-AB27</f>
        <v>#REF!</v>
      </c>
      <c r="AD27" s="124" t="str">
        <f>IF(ISERROR((N27/AB27)-1),"-",(N27/AB27)-1)</f>
        <v>-</v>
      </c>
    </row>
    <row r="28" spans="1:30">
      <c r="A28" s="7" t="s">
        <v>58</v>
      </c>
      <c r="B28" s="27" t="e">
        <f>SUM(B26:B27)</f>
        <v>#REF!</v>
      </c>
      <c r="C28" s="27" t="e">
        <f t="shared" ref="C28:N28" si="11">SUM(C26:C27)</f>
        <v>#REF!</v>
      </c>
      <c r="D28" s="27" t="e">
        <f t="shared" si="11"/>
        <v>#REF!</v>
      </c>
      <c r="E28" s="27" t="e">
        <f t="shared" si="11"/>
        <v>#REF!</v>
      </c>
      <c r="F28" s="27" t="e">
        <f t="shared" si="11"/>
        <v>#REF!</v>
      </c>
      <c r="G28" s="27" t="e">
        <f t="shared" si="11"/>
        <v>#REF!</v>
      </c>
      <c r="H28" s="27" t="e">
        <f t="shared" si="11"/>
        <v>#REF!</v>
      </c>
      <c r="I28" s="27" t="e">
        <f t="shared" si="11"/>
        <v>#REF!</v>
      </c>
      <c r="J28" s="27" t="e">
        <f t="shared" si="11"/>
        <v>#REF!</v>
      </c>
      <c r="K28" s="27" t="e">
        <f t="shared" si="11"/>
        <v>#REF!</v>
      </c>
      <c r="L28" s="27" t="e">
        <f t="shared" si="11"/>
        <v>#REF!</v>
      </c>
      <c r="M28" s="27" t="e">
        <f t="shared" si="11"/>
        <v>#REF!</v>
      </c>
      <c r="N28" s="27" t="e">
        <f t="shared" si="11"/>
        <v>#REF!</v>
      </c>
      <c r="O28" s="27">
        <f t="shared" ref="O28:W28" si="12">SUM(O26)</f>
        <v>0</v>
      </c>
      <c r="P28" s="27">
        <f t="shared" si="12"/>
        <v>12093.76</v>
      </c>
      <c r="Q28" s="27">
        <f t="shared" si="12"/>
        <v>0</v>
      </c>
      <c r="R28" s="27">
        <f t="shared" si="12"/>
        <v>0</v>
      </c>
      <c r="S28" s="27">
        <f t="shared" si="12"/>
        <v>0</v>
      </c>
      <c r="T28" s="27">
        <f>SUM(T26)</f>
        <v>0</v>
      </c>
      <c r="U28" s="27">
        <f>SUM(U26)</f>
        <v>0</v>
      </c>
      <c r="V28" s="27">
        <f t="shared" si="12"/>
        <v>0</v>
      </c>
      <c r="W28" s="27">
        <f t="shared" si="12"/>
        <v>12093.76</v>
      </c>
      <c r="Y28" s="27">
        <f>SUM(Y26:Y27)</f>
        <v>24000</v>
      </c>
      <c r="Z28" s="27" t="e">
        <f>SUM(Z26:Z27)</f>
        <v>#REF!</v>
      </c>
      <c r="AB28" s="27">
        <f ca="1">SUM(AB26:AB27)</f>
        <v>22147.829999999998</v>
      </c>
      <c r="AC28" s="27" t="e">
        <f ca="1">SUM(AC26:AC27)</f>
        <v>#REF!</v>
      </c>
      <c r="AD28" s="135" t="str">
        <f ca="1">IF(ISERROR((N28/AB28)-1),"-",(N28/AB28)-1)</f>
        <v>-</v>
      </c>
    </row>
    <row r="29" spans="1:30">
      <c r="A29" s="15"/>
      <c r="B29" s="13"/>
      <c r="C29" s="13"/>
      <c r="D29" s="13"/>
      <c r="E29" s="13"/>
      <c r="F29" s="13"/>
      <c r="G29" s="13"/>
      <c r="H29" s="13"/>
      <c r="I29" s="13"/>
      <c r="J29" s="13"/>
      <c r="K29" s="13"/>
      <c r="L29" s="13"/>
      <c r="M29" s="13"/>
      <c r="N29" s="13"/>
      <c r="O29" s="13"/>
      <c r="P29" s="13"/>
      <c r="Q29" s="13"/>
      <c r="R29" s="13"/>
      <c r="S29" s="13"/>
      <c r="T29" s="13"/>
      <c r="U29" s="13"/>
      <c r="V29" s="13"/>
      <c r="W29" s="13"/>
    </row>
    <row r="30" spans="1:30">
      <c r="A30" s="7" t="s">
        <v>59</v>
      </c>
      <c r="B30" s="13"/>
      <c r="C30" s="13"/>
      <c r="D30" s="13"/>
      <c r="E30" s="13"/>
      <c r="F30" s="13"/>
      <c r="G30" s="13"/>
      <c r="H30" s="13"/>
      <c r="I30" s="13"/>
      <c r="J30" s="13"/>
      <c r="K30" s="13"/>
      <c r="L30" s="13"/>
      <c r="M30" s="13"/>
      <c r="N30" s="13"/>
      <c r="O30" s="13"/>
      <c r="P30" s="13"/>
      <c r="Q30" s="13"/>
      <c r="R30" s="13"/>
      <c r="S30" s="13"/>
      <c r="T30" s="13"/>
      <c r="U30" s="13"/>
      <c r="V30" s="13"/>
      <c r="W30" s="13"/>
    </row>
    <row r="31" spans="1:30">
      <c r="A31" s="15" t="s">
        <v>60</v>
      </c>
      <c r="B31" s="13">
        <f>'Income - Overall'!B30</f>
        <v>0</v>
      </c>
      <c r="C31" s="13">
        <f>'Income - Overall'!C30</f>
        <v>0</v>
      </c>
      <c r="D31" s="13">
        <f>'Income - Overall'!D30</f>
        <v>0</v>
      </c>
      <c r="E31" s="13">
        <f>'Income - Overall'!E30</f>
        <v>0</v>
      </c>
      <c r="F31" s="13">
        <f>'Income - Overall'!F30</f>
        <v>0</v>
      </c>
      <c r="G31" s="13">
        <f>'Income - Overall'!G30</f>
        <v>0</v>
      </c>
      <c r="H31" s="13">
        <f>'Income - Overall'!H30</f>
        <v>0</v>
      </c>
      <c r="I31" s="13">
        <f>'Income - Overall'!I30</f>
        <v>0</v>
      </c>
      <c r="J31" s="13">
        <f>'Income - Overall'!J30</f>
        <v>0</v>
      </c>
      <c r="K31" s="13"/>
      <c r="L31" s="13"/>
      <c r="M31" s="13"/>
      <c r="N31" s="13">
        <f>SUM(B31:M31)</f>
        <v>0</v>
      </c>
      <c r="O31" s="13"/>
      <c r="P31" s="13">
        <f>N31-O31</f>
        <v>0</v>
      </c>
      <c r="Q31" s="13"/>
      <c r="R31" s="13"/>
      <c r="S31" s="13"/>
      <c r="T31" s="13"/>
      <c r="U31" s="13"/>
      <c r="V31" s="13"/>
      <c r="W31" s="13">
        <f>SUM(P31:V31)</f>
        <v>0</v>
      </c>
      <c r="Y31" s="13">
        <f>SUMIF('Income - OverallBUD'!$C$2:$N$2,'Income - Forecast'!$Y$2,'Income - OverallBUD'!$C30:$N30)</f>
        <v>0</v>
      </c>
      <c r="Z31" s="13">
        <f>N31-Y31</f>
        <v>0</v>
      </c>
      <c r="AB31" s="13">
        <f ca="1">SUMIF('Income - OverallPY'!$B$2:$N$2,'Income - Forecast'!$AB$2,'Income - OverallPY'!$B29:$M29)</f>
        <v>0</v>
      </c>
      <c r="AC31" s="13">
        <f ca="1">N31-AB31</f>
        <v>0</v>
      </c>
      <c r="AD31" s="124" t="str">
        <f ca="1">IF(ISERROR((N31/AB31)-1),"-",(N31/AB31)-1)</f>
        <v>-</v>
      </c>
    </row>
    <row r="32" spans="1:30">
      <c r="A32" s="7" t="s">
        <v>61</v>
      </c>
      <c r="B32" s="27">
        <f>SUM(B31)</f>
        <v>0</v>
      </c>
      <c r="C32" s="27">
        <f t="shared" ref="C32:AC32" si="13">SUM(C31)</f>
        <v>0</v>
      </c>
      <c r="D32" s="27">
        <f t="shared" si="13"/>
        <v>0</v>
      </c>
      <c r="E32" s="27">
        <f t="shared" si="13"/>
        <v>0</v>
      </c>
      <c r="F32" s="27">
        <f t="shared" si="13"/>
        <v>0</v>
      </c>
      <c r="G32" s="27">
        <f t="shared" si="13"/>
        <v>0</v>
      </c>
      <c r="H32" s="27">
        <f t="shared" si="13"/>
        <v>0</v>
      </c>
      <c r="I32" s="27">
        <f t="shared" si="13"/>
        <v>0</v>
      </c>
      <c r="J32" s="27">
        <f t="shared" si="13"/>
        <v>0</v>
      </c>
      <c r="K32" s="27">
        <f t="shared" si="13"/>
        <v>0</v>
      </c>
      <c r="L32" s="27">
        <f t="shared" si="13"/>
        <v>0</v>
      </c>
      <c r="M32" s="27">
        <f t="shared" si="13"/>
        <v>0</v>
      </c>
      <c r="N32" s="27">
        <f t="shared" si="13"/>
        <v>0</v>
      </c>
      <c r="O32" s="27">
        <f t="shared" si="13"/>
        <v>0</v>
      </c>
      <c r="P32" s="27">
        <f t="shared" si="13"/>
        <v>0</v>
      </c>
      <c r="Q32" s="27">
        <f t="shared" si="13"/>
        <v>0</v>
      </c>
      <c r="R32" s="27">
        <f t="shared" si="13"/>
        <v>0</v>
      </c>
      <c r="S32" s="27">
        <f t="shared" si="13"/>
        <v>0</v>
      </c>
      <c r="T32" s="27">
        <f t="shared" si="13"/>
        <v>0</v>
      </c>
      <c r="U32" s="27">
        <f t="shared" si="13"/>
        <v>0</v>
      </c>
      <c r="V32" s="27">
        <f t="shared" si="13"/>
        <v>0</v>
      </c>
      <c r="W32" s="27">
        <f t="shared" si="13"/>
        <v>0</v>
      </c>
      <c r="Y32" s="27">
        <f t="shared" si="13"/>
        <v>0</v>
      </c>
      <c r="Z32" s="27">
        <f t="shared" si="13"/>
        <v>0</v>
      </c>
      <c r="AB32" s="27">
        <f t="shared" ca="1" si="13"/>
        <v>0</v>
      </c>
      <c r="AC32" s="27">
        <f t="shared" ca="1" si="13"/>
        <v>0</v>
      </c>
      <c r="AD32" s="135" t="str">
        <f ca="1">IF(ISERROR((N32/AB32)-1),"-",(N32/AB32)-1)</f>
        <v>-</v>
      </c>
    </row>
    <row r="33" spans="1:30">
      <c r="A33" s="15"/>
      <c r="B33" s="13"/>
      <c r="C33" s="13"/>
      <c r="D33" s="13"/>
      <c r="E33" s="13"/>
      <c r="F33" s="13"/>
      <c r="G33" s="13"/>
      <c r="H33" s="13"/>
      <c r="I33" s="13"/>
      <c r="J33" s="13"/>
      <c r="K33" s="13"/>
      <c r="L33" s="13"/>
      <c r="M33" s="13"/>
      <c r="N33" s="13"/>
      <c r="O33" s="13"/>
      <c r="P33" s="13"/>
      <c r="Q33" s="13"/>
      <c r="R33" s="13"/>
      <c r="S33" s="13"/>
      <c r="T33" s="13"/>
      <c r="U33" s="13"/>
      <c r="V33" s="13"/>
      <c r="W33" s="13"/>
    </row>
    <row r="34" spans="1:30">
      <c r="A34" s="39" t="s">
        <v>147</v>
      </c>
      <c r="B34" s="13"/>
      <c r="C34" s="13"/>
      <c r="D34" s="13"/>
      <c r="E34" s="13"/>
      <c r="F34" s="13"/>
      <c r="G34" s="13"/>
      <c r="H34" s="13"/>
      <c r="I34" s="13"/>
      <c r="J34" s="13"/>
      <c r="K34" s="13"/>
      <c r="L34" s="13"/>
      <c r="M34" s="13"/>
      <c r="N34" s="13"/>
      <c r="O34" s="13"/>
      <c r="P34" s="13"/>
      <c r="Q34" s="13"/>
      <c r="R34" s="13"/>
      <c r="S34" s="13"/>
      <c r="T34" s="13"/>
      <c r="U34" s="13"/>
      <c r="V34" s="13"/>
      <c r="W34" s="13"/>
    </row>
    <row r="35" spans="1:30">
      <c r="A35" s="15" t="s">
        <v>63</v>
      </c>
      <c r="B35" s="13">
        <f>'Income - Overall'!B34</f>
        <v>1220.25</v>
      </c>
      <c r="C35" s="13">
        <f>'Income - Overall'!C34</f>
        <v>0</v>
      </c>
      <c r="D35" s="13">
        <f>'Income - Overall'!D34</f>
        <v>0</v>
      </c>
      <c r="E35" s="13">
        <f t="shared" ref="E35:M37" si="14">AVERAGE($B35:$D35)</f>
        <v>406.75</v>
      </c>
      <c r="F35" s="13">
        <f t="shared" si="14"/>
        <v>406.75</v>
      </c>
      <c r="G35" s="13">
        <f t="shared" si="14"/>
        <v>406.75</v>
      </c>
      <c r="H35" s="13">
        <f t="shared" si="14"/>
        <v>406.75</v>
      </c>
      <c r="I35" s="13">
        <f t="shared" si="14"/>
        <v>406.75</v>
      </c>
      <c r="J35" s="13">
        <f t="shared" si="14"/>
        <v>406.75</v>
      </c>
      <c r="K35" s="13">
        <f t="shared" si="14"/>
        <v>406.75</v>
      </c>
      <c r="L35" s="13">
        <f t="shared" si="14"/>
        <v>406.75</v>
      </c>
      <c r="M35" s="13">
        <f t="shared" si="14"/>
        <v>406.75</v>
      </c>
      <c r="N35" s="13">
        <f>SUM(B35:M35)</f>
        <v>4881</v>
      </c>
      <c r="O35" s="13"/>
      <c r="P35" s="13">
        <f>N35-O35</f>
        <v>4881</v>
      </c>
      <c r="Q35" s="13"/>
      <c r="R35" s="13"/>
      <c r="S35" s="13"/>
      <c r="T35" s="13"/>
      <c r="U35" s="13"/>
      <c r="V35" s="13"/>
      <c r="W35" s="13">
        <f>SUM(P35:V35)</f>
        <v>4881</v>
      </c>
      <c r="Y35" s="13">
        <f>SUMIF('Income - OverallBUD'!$C$2:$N$2,'Income - Forecast'!$Y$2,'Income - OverallBUD'!$C34:$N34)</f>
        <v>0</v>
      </c>
      <c r="Z35" s="13">
        <f>N35-Y35</f>
        <v>4881</v>
      </c>
      <c r="AB35" s="13">
        <f ca="1">SUMIF('Income - OverallPY'!$B$2:$N$2,'Income - Forecast'!$AB$2,'Income - OverallPY'!$B33:$M33)</f>
        <v>0</v>
      </c>
      <c r="AC35" s="13">
        <f ca="1">N35-AB35</f>
        <v>4881</v>
      </c>
      <c r="AD35" s="124" t="str">
        <f ca="1">IF(ISERROR((N35/AB35)-1),"-",(N35/AB35)-1)</f>
        <v>-</v>
      </c>
    </row>
    <row r="36" spans="1:30">
      <c r="A36" s="15" t="s">
        <v>64</v>
      </c>
      <c r="B36" s="13">
        <f>'Income - Overall'!B35</f>
        <v>0</v>
      </c>
      <c r="C36" s="13">
        <f>'Income - Overall'!C35</f>
        <v>0</v>
      </c>
      <c r="D36" s="13">
        <f>'Income - Overall'!D35</f>
        <v>0</v>
      </c>
      <c r="E36" s="13">
        <f t="shared" si="14"/>
        <v>0</v>
      </c>
      <c r="F36" s="13">
        <f t="shared" si="14"/>
        <v>0</v>
      </c>
      <c r="G36" s="13">
        <f t="shared" si="14"/>
        <v>0</v>
      </c>
      <c r="H36" s="13">
        <f t="shared" si="14"/>
        <v>0</v>
      </c>
      <c r="I36" s="13">
        <f t="shared" si="14"/>
        <v>0</v>
      </c>
      <c r="J36" s="13">
        <f t="shared" si="14"/>
        <v>0</v>
      </c>
      <c r="K36" s="13">
        <f t="shared" si="14"/>
        <v>0</v>
      </c>
      <c r="L36" s="13">
        <f t="shared" si="14"/>
        <v>0</v>
      </c>
      <c r="M36" s="13">
        <f t="shared" si="14"/>
        <v>0</v>
      </c>
      <c r="N36" s="13">
        <f>SUM(B36:M36)</f>
        <v>0</v>
      </c>
      <c r="O36" s="13"/>
      <c r="P36" s="13">
        <f>N36-O36</f>
        <v>0</v>
      </c>
      <c r="Q36" s="13"/>
      <c r="R36" s="13"/>
      <c r="S36" s="13"/>
      <c r="T36" s="13"/>
      <c r="U36" s="13"/>
      <c r="V36" s="13"/>
      <c r="W36" s="13">
        <f>SUM(P36:V36)</f>
        <v>0</v>
      </c>
      <c r="Y36" s="13">
        <f>SUMIF('Income - OverallBUD'!$C$2:$N$2,'Income - Forecast'!$Y$2,'Income - OverallBUD'!$C35:$N35)</f>
        <v>0</v>
      </c>
      <c r="Z36" s="13">
        <f>N36-Y36</f>
        <v>0</v>
      </c>
      <c r="AB36" s="13">
        <f ca="1">SUMIF('Income - OverallPY'!$B$2:$N$2,'Income - Forecast'!$AB$2,'Income - OverallPY'!$B34:$M34)</f>
        <v>0</v>
      </c>
      <c r="AC36" s="13">
        <f ca="1">N36-AB36</f>
        <v>0</v>
      </c>
      <c r="AD36" s="124" t="str">
        <f ca="1">IF(ISERROR((N36/AB36)-1),"-",(N36/AB36)-1)</f>
        <v>-</v>
      </c>
    </row>
    <row r="37" spans="1:30">
      <c r="A37" s="15" t="s">
        <v>65</v>
      </c>
      <c r="B37" s="13">
        <f>'Income - Overall'!B36</f>
        <v>0</v>
      </c>
      <c r="C37" s="13">
        <f>'Income - Overall'!C36</f>
        <v>0</v>
      </c>
      <c r="D37" s="13">
        <f>'Income - Overall'!D36</f>
        <v>0</v>
      </c>
      <c r="E37" s="13">
        <f t="shared" si="14"/>
        <v>0</v>
      </c>
      <c r="F37" s="13">
        <f t="shared" si="14"/>
        <v>0</v>
      </c>
      <c r="G37" s="13">
        <f t="shared" si="14"/>
        <v>0</v>
      </c>
      <c r="H37" s="13">
        <f t="shared" si="14"/>
        <v>0</v>
      </c>
      <c r="I37" s="13">
        <f t="shared" si="14"/>
        <v>0</v>
      </c>
      <c r="J37" s="13">
        <f t="shared" si="14"/>
        <v>0</v>
      </c>
      <c r="K37" s="13">
        <f t="shared" si="14"/>
        <v>0</v>
      </c>
      <c r="L37" s="13">
        <f t="shared" si="14"/>
        <v>0</v>
      </c>
      <c r="M37" s="13">
        <f t="shared" si="14"/>
        <v>0</v>
      </c>
      <c r="N37" s="13">
        <f>SUM(B37:M37)</f>
        <v>0</v>
      </c>
      <c r="O37" s="13"/>
      <c r="P37" s="13">
        <f>N37-O37</f>
        <v>0</v>
      </c>
      <c r="Q37" s="13"/>
      <c r="R37" s="13"/>
      <c r="S37" s="13"/>
      <c r="T37" s="13"/>
      <c r="U37" s="13"/>
      <c r="V37" s="13"/>
      <c r="W37" s="13">
        <f>SUM(P37:V37)</f>
        <v>0</v>
      </c>
      <c r="Y37" s="13">
        <f>SUMIF('Income - OverallBUD'!$C$2:$N$2,'Income - Forecast'!$Y$2,'Income - OverallBUD'!$C36:$N36)</f>
        <v>0</v>
      </c>
      <c r="Z37" s="13">
        <f>N37-Y37</f>
        <v>0</v>
      </c>
      <c r="AB37" s="13">
        <f ca="1">SUMIF('Income - OverallPY'!$B$2:$N$2,'Income - Forecast'!$AB$2,'Income - OverallPY'!$B35:$M35)</f>
        <v>0</v>
      </c>
      <c r="AC37" s="13">
        <f ca="1">N37-AB37</f>
        <v>0</v>
      </c>
      <c r="AD37" s="124" t="str">
        <f ca="1">IF(ISERROR((N37/AB37)-1),"-",(N37/AB37)-1)</f>
        <v>-</v>
      </c>
    </row>
    <row r="38" spans="1:30">
      <c r="A38" s="39" t="s">
        <v>66</v>
      </c>
      <c r="B38" s="27">
        <f>SUM(B35:B37)</f>
        <v>1220.25</v>
      </c>
      <c r="C38" s="27">
        <f t="shared" ref="C38:W38" si="15">SUM(C35:C37)</f>
        <v>0</v>
      </c>
      <c r="D38" s="27">
        <f t="shared" si="15"/>
        <v>0</v>
      </c>
      <c r="E38" s="27">
        <f t="shared" si="15"/>
        <v>406.75</v>
      </c>
      <c r="F38" s="27">
        <f t="shared" si="15"/>
        <v>406.75</v>
      </c>
      <c r="G38" s="27">
        <f t="shared" si="15"/>
        <v>406.75</v>
      </c>
      <c r="H38" s="27">
        <f t="shared" si="15"/>
        <v>406.75</v>
      </c>
      <c r="I38" s="27">
        <f t="shared" si="15"/>
        <v>406.75</v>
      </c>
      <c r="J38" s="27">
        <f t="shared" si="15"/>
        <v>406.75</v>
      </c>
      <c r="K38" s="27">
        <f t="shared" si="15"/>
        <v>406.75</v>
      </c>
      <c r="L38" s="27">
        <f t="shared" si="15"/>
        <v>406.75</v>
      </c>
      <c r="M38" s="27">
        <f t="shared" si="15"/>
        <v>406.75</v>
      </c>
      <c r="N38" s="27">
        <f t="shared" si="15"/>
        <v>4881</v>
      </c>
      <c r="O38" s="27">
        <f t="shared" si="15"/>
        <v>0</v>
      </c>
      <c r="P38" s="27">
        <f t="shared" si="15"/>
        <v>4881</v>
      </c>
      <c r="Q38" s="27">
        <f t="shared" si="15"/>
        <v>0</v>
      </c>
      <c r="R38" s="27">
        <f t="shared" si="15"/>
        <v>0</v>
      </c>
      <c r="S38" s="27">
        <f t="shared" si="15"/>
        <v>0</v>
      </c>
      <c r="T38" s="27">
        <f t="shared" si="15"/>
        <v>0</v>
      </c>
      <c r="U38" s="27">
        <f t="shared" si="15"/>
        <v>0</v>
      </c>
      <c r="V38" s="27">
        <f t="shared" si="15"/>
        <v>0</v>
      </c>
      <c r="W38" s="27">
        <f t="shared" si="15"/>
        <v>4881</v>
      </c>
      <c r="Y38" s="27">
        <f>SUM(Y35:Y37)</f>
        <v>0</v>
      </c>
      <c r="Z38" s="27">
        <f>SUM(Z35:Z37)</f>
        <v>4881</v>
      </c>
      <c r="AB38" s="27">
        <f ca="1">SUM(AB35:AB37)</f>
        <v>0</v>
      </c>
      <c r="AC38" s="27">
        <f ca="1">SUM(AC35:AC37)</f>
        <v>4881</v>
      </c>
      <c r="AD38" s="135" t="str">
        <f ca="1">IF(ISERROR((N38/AB38)-1),"-",(N38/AB38)-1)</f>
        <v>-</v>
      </c>
    </row>
    <row r="39" spans="1:30">
      <c r="A39" s="15"/>
      <c r="B39" s="13"/>
      <c r="C39" s="13"/>
      <c r="D39" s="13"/>
      <c r="E39" s="13"/>
      <c r="F39" s="13"/>
      <c r="G39" s="13"/>
      <c r="H39" s="13"/>
      <c r="I39" s="13"/>
      <c r="J39" s="13"/>
      <c r="K39" s="13"/>
      <c r="L39" s="13"/>
      <c r="M39" s="13"/>
      <c r="N39" s="13"/>
      <c r="O39" s="13"/>
      <c r="P39" s="13"/>
      <c r="Q39" s="13"/>
      <c r="R39" s="13"/>
      <c r="S39" s="13"/>
      <c r="T39" s="13"/>
      <c r="U39" s="13"/>
      <c r="V39" s="13"/>
      <c r="W39" s="13"/>
    </row>
    <row r="40" spans="1:30">
      <c r="A40" s="16" t="s">
        <v>67</v>
      </c>
      <c r="B40" s="27" t="e">
        <f>B38+B32+B28+B16+B23</f>
        <v>#REF!</v>
      </c>
      <c r="C40" s="27" t="e">
        <f t="shared" ref="C40:AC40" si="16">C38+C32+C28+C16+C23</f>
        <v>#REF!</v>
      </c>
      <c r="D40" s="27" t="e">
        <f t="shared" si="16"/>
        <v>#REF!</v>
      </c>
      <c r="E40" s="27" t="e">
        <f t="shared" si="16"/>
        <v>#REF!</v>
      </c>
      <c r="F40" s="27" t="e">
        <f t="shared" si="16"/>
        <v>#REF!</v>
      </c>
      <c r="G40" s="27" t="e">
        <f t="shared" si="16"/>
        <v>#REF!</v>
      </c>
      <c r="H40" s="27" t="e">
        <f t="shared" si="16"/>
        <v>#REF!</v>
      </c>
      <c r="I40" s="27" t="e">
        <f t="shared" si="16"/>
        <v>#REF!</v>
      </c>
      <c r="J40" s="27" t="e">
        <f t="shared" si="16"/>
        <v>#REF!</v>
      </c>
      <c r="K40" s="27" t="e">
        <f t="shared" si="16"/>
        <v>#REF!</v>
      </c>
      <c r="L40" s="27" t="e">
        <f t="shared" si="16"/>
        <v>#REF!</v>
      </c>
      <c r="M40" s="27" t="e">
        <f t="shared" si="16"/>
        <v>#REF!</v>
      </c>
      <c r="N40" s="27" t="e">
        <f t="shared" si="16"/>
        <v>#REF!</v>
      </c>
      <c r="O40" s="27">
        <f t="shared" si="16"/>
        <v>0</v>
      </c>
      <c r="P40" s="27">
        <f t="shared" si="16"/>
        <v>137751.44</v>
      </c>
      <c r="Q40" s="27">
        <f t="shared" si="16"/>
        <v>0</v>
      </c>
      <c r="R40" s="27">
        <f t="shared" si="16"/>
        <v>0</v>
      </c>
      <c r="S40" s="27">
        <f t="shared" si="16"/>
        <v>0</v>
      </c>
      <c r="T40" s="27">
        <f t="shared" si="16"/>
        <v>0</v>
      </c>
      <c r="U40" s="27">
        <f t="shared" si="16"/>
        <v>0</v>
      </c>
      <c r="V40" s="27">
        <f t="shared" si="16"/>
        <v>0</v>
      </c>
      <c r="W40" s="27">
        <f t="shared" si="16"/>
        <v>137751.44</v>
      </c>
      <c r="Y40" s="27">
        <f t="shared" si="16"/>
        <v>148560</v>
      </c>
      <c r="Z40" s="27" t="e">
        <f t="shared" si="16"/>
        <v>#REF!</v>
      </c>
      <c r="AB40" s="27">
        <f t="shared" ca="1" si="16"/>
        <v>146588.67000000001</v>
      </c>
      <c r="AC40" s="27" t="e">
        <f t="shared" ca="1" si="16"/>
        <v>#REF!</v>
      </c>
      <c r="AD40" s="135" t="str">
        <f ca="1">IF(ISERROR((N40/AB40)-1),"-",(N40/AB40)-1)</f>
        <v>-</v>
      </c>
    </row>
    <row r="41" spans="1:30">
      <c r="A41" s="15"/>
      <c r="B41" s="13"/>
      <c r="C41" s="13"/>
      <c r="D41" s="13"/>
      <c r="E41" s="13"/>
      <c r="F41" s="13"/>
      <c r="G41" s="13"/>
      <c r="H41" s="13"/>
      <c r="I41" s="13"/>
      <c r="J41" s="13"/>
      <c r="K41" s="13"/>
      <c r="L41" s="13"/>
      <c r="M41" s="13"/>
      <c r="N41" s="13"/>
      <c r="O41" s="13"/>
      <c r="P41" s="13"/>
      <c r="Q41" s="13"/>
      <c r="R41" s="13"/>
      <c r="S41" s="13"/>
      <c r="T41" s="13"/>
      <c r="U41" s="13"/>
      <c r="V41" s="13"/>
      <c r="W41" s="13"/>
    </row>
    <row r="42" spans="1:30">
      <c r="A42" s="40" t="s">
        <v>68</v>
      </c>
      <c r="B42" s="13"/>
      <c r="C42" s="13"/>
      <c r="D42" s="13"/>
      <c r="E42" s="13"/>
      <c r="F42" s="13"/>
      <c r="G42" s="13"/>
      <c r="H42" s="13"/>
      <c r="I42" s="13"/>
      <c r="J42" s="13"/>
      <c r="K42" s="13"/>
      <c r="L42" s="13"/>
      <c r="M42" s="13"/>
      <c r="N42" s="13"/>
      <c r="O42" s="13"/>
      <c r="P42" s="13"/>
      <c r="Q42" s="13"/>
      <c r="R42" s="13"/>
      <c r="S42" s="13"/>
      <c r="T42" s="13"/>
      <c r="U42" s="13"/>
      <c r="V42" s="13"/>
      <c r="W42" s="13"/>
    </row>
    <row r="43" spans="1:30">
      <c r="A43" s="15" t="s">
        <v>69</v>
      </c>
      <c r="B43" s="13">
        <f>'Income - Overall'!B42</f>
        <v>1057.8</v>
      </c>
      <c r="C43" s="13">
        <f>'Income - Overall'!C42</f>
        <v>1351.5</v>
      </c>
      <c r="D43" s="13">
        <f>'Income - Overall'!D42</f>
        <v>1586.75</v>
      </c>
      <c r="E43" s="13">
        <f t="shared" ref="E43:M43" si="17">AVERAGE($B43:$D43)</f>
        <v>1332.0166666666667</v>
      </c>
      <c r="F43" s="13">
        <f t="shared" si="17"/>
        <v>1332.0166666666667</v>
      </c>
      <c r="G43" s="13">
        <f t="shared" si="17"/>
        <v>1332.0166666666667</v>
      </c>
      <c r="H43" s="13">
        <f t="shared" si="17"/>
        <v>1332.0166666666667</v>
      </c>
      <c r="I43" s="13">
        <f t="shared" si="17"/>
        <v>1332.0166666666667</v>
      </c>
      <c r="J43" s="13">
        <f t="shared" si="17"/>
        <v>1332.0166666666667</v>
      </c>
      <c r="K43" s="13">
        <f t="shared" si="17"/>
        <v>1332.0166666666667</v>
      </c>
      <c r="L43" s="13">
        <f t="shared" si="17"/>
        <v>1332.0166666666667</v>
      </c>
      <c r="M43" s="13">
        <f t="shared" si="17"/>
        <v>1332.0166666666667</v>
      </c>
      <c r="N43" s="13">
        <f>SUM(B43:M43)</f>
        <v>15984.199999999999</v>
      </c>
      <c r="O43" s="13"/>
      <c r="P43" s="13">
        <f>N43-O43</f>
        <v>15984.199999999999</v>
      </c>
      <c r="Q43" s="13"/>
      <c r="R43" s="13"/>
      <c r="S43" s="13"/>
      <c r="T43" s="13"/>
      <c r="U43" s="13"/>
      <c r="V43" s="13"/>
      <c r="W43" s="13">
        <f>SUM(P43:V43)</f>
        <v>15984.199999999999</v>
      </c>
      <c r="Y43" s="13">
        <f>SUMIF('Income - OverallBUD'!$C$2:$N$2,'Income - Forecast'!$Y$2,'Income - OverallBUD'!$C42:$N42)</f>
        <v>18000</v>
      </c>
      <c r="Z43" s="13">
        <f>N43-Y43</f>
        <v>-2015.8000000000011</v>
      </c>
      <c r="AB43" s="13">
        <f ca="1">SUMIF('Income - OverallPY'!$B$2:$N$2,'Income - Forecast'!$AB$2,'Income - OverallPY'!$B41:$M41)</f>
        <v>0</v>
      </c>
      <c r="AC43" s="13">
        <f ca="1">N43-AB43</f>
        <v>15984.199999999999</v>
      </c>
      <c r="AD43" s="124" t="str">
        <f ca="1">IF(ISERROR((N43/AB43)-1),"-",(N43/AB43)-1)</f>
        <v>-</v>
      </c>
    </row>
    <row r="44" spans="1:30">
      <c r="A44" s="16" t="s">
        <v>70</v>
      </c>
      <c r="B44" s="27">
        <f>SUM(B43)</f>
        <v>1057.8</v>
      </c>
      <c r="C44" s="27">
        <f t="shared" ref="C44:AC44" si="18">SUM(C43)</f>
        <v>1351.5</v>
      </c>
      <c r="D44" s="27">
        <f t="shared" si="18"/>
        <v>1586.75</v>
      </c>
      <c r="E44" s="27">
        <f t="shared" si="18"/>
        <v>1332.0166666666667</v>
      </c>
      <c r="F44" s="27">
        <f t="shared" si="18"/>
        <v>1332.0166666666667</v>
      </c>
      <c r="G44" s="27">
        <f t="shared" si="18"/>
        <v>1332.0166666666667</v>
      </c>
      <c r="H44" s="27">
        <f t="shared" si="18"/>
        <v>1332.0166666666667</v>
      </c>
      <c r="I44" s="27">
        <f t="shared" si="18"/>
        <v>1332.0166666666667</v>
      </c>
      <c r="J44" s="27">
        <f t="shared" si="18"/>
        <v>1332.0166666666667</v>
      </c>
      <c r="K44" s="27">
        <f t="shared" si="18"/>
        <v>1332.0166666666667</v>
      </c>
      <c r="L44" s="27">
        <f t="shared" si="18"/>
        <v>1332.0166666666667</v>
      </c>
      <c r="M44" s="27">
        <f t="shared" si="18"/>
        <v>1332.0166666666667</v>
      </c>
      <c r="N44" s="27">
        <f t="shared" si="18"/>
        <v>15984.199999999999</v>
      </c>
      <c r="O44" s="27">
        <f t="shared" si="18"/>
        <v>0</v>
      </c>
      <c r="P44" s="27">
        <f t="shared" si="18"/>
        <v>15984.199999999999</v>
      </c>
      <c r="Q44" s="27">
        <f t="shared" si="18"/>
        <v>0</v>
      </c>
      <c r="R44" s="27">
        <f t="shared" si="18"/>
        <v>0</v>
      </c>
      <c r="S44" s="27">
        <f t="shared" si="18"/>
        <v>0</v>
      </c>
      <c r="T44" s="27">
        <f>SUM(T43)</f>
        <v>0</v>
      </c>
      <c r="U44" s="27">
        <f>SUM(U43)</f>
        <v>0</v>
      </c>
      <c r="V44" s="27">
        <f t="shared" si="18"/>
        <v>0</v>
      </c>
      <c r="W44" s="27">
        <f t="shared" si="18"/>
        <v>15984.199999999999</v>
      </c>
      <c r="Y44" s="27">
        <f t="shared" si="18"/>
        <v>18000</v>
      </c>
      <c r="Z44" s="27">
        <f t="shared" si="18"/>
        <v>-2015.8000000000011</v>
      </c>
      <c r="AB44" s="27">
        <f t="shared" ca="1" si="18"/>
        <v>0</v>
      </c>
      <c r="AC44" s="27">
        <f t="shared" ca="1" si="18"/>
        <v>15984.199999999999</v>
      </c>
      <c r="AD44" s="135" t="str">
        <f ca="1">IF(ISERROR((N44/AB44)-1),"-",(N44/AB44)-1)</f>
        <v>-</v>
      </c>
    </row>
    <row r="45" spans="1:30">
      <c r="A45" s="15"/>
      <c r="B45" s="13"/>
      <c r="C45" s="13"/>
      <c r="D45" s="13"/>
      <c r="E45" s="13"/>
      <c r="F45" s="13"/>
      <c r="G45" s="13"/>
      <c r="H45" s="13"/>
      <c r="I45" s="13"/>
      <c r="J45" s="13"/>
      <c r="K45" s="13"/>
      <c r="L45" s="13"/>
      <c r="M45" s="13"/>
      <c r="N45" s="13"/>
      <c r="O45" s="13"/>
      <c r="P45" s="13"/>
      <c r="Q45" s="13"/>
      <c r="R45" s="13"/>
      <c r="S45" s="13"/>
      <c r="T45" s="13"/>
      <c r="U45" s="13"/>
      <c r="V45" s="13"/>
      <c r="W45" s="13"/>
    </row>
    <row r="46" spans="1:30">
      <c r="A46" s="40" t="s">
        <v>71</v>
      </c>
      <c r="B46" s="13"/>
      <c r="C46" s="13"/>
      <c r="D46" s="13"/>
      <c r="E46" s="13"/>
      <c r="F46" s="13"/>
      <c r="G46" s="13"/>
      <c r="H46" s="13"/>
      <c r="I46" s="13"/>
      <c r="J46" s="13"/>
      <c r="K46" s="13"/>
      <c r="L46" s="13"/>
      <c r="M46" s="13"/>
      <c r="N46" s="13"/>
      <c r="O46" s="13"/>
      <c r="P46" s="13"/>
      <c r="Q46" s="13"/>
      <c r="R46" s="13"/>
      <c r="S46" s="13"/>
      <c r="T46" s="13"/>
      <c r="U46" s="13"/>
      <c r="V46" s="13"/>
      <c r="W46" s="13"/>
    </row>
    <row r="47" spans="1:30">
      <c r="A47" s="15" t="s">
        <v>72</v>
      </c>
      <c r="B47" s="13">
        <f>'Income - Overall'!B46</f>
        <v>0</v>
      </c>
      <c r="C47" s="13">
        <f>'Income - Overall'!C46</f>
        <v>0</v>
      </c>
      <c r="D47" s="13">
        <f>'Income - Overall'!D46</f>
        <v>0</v>
      </c>
      <c r="E47" s="13">
        <f>'Income - Overall'!E46</f>
        <v>2544.92</v>
      </c>
      <c r="F47" s="13">
        <f>'Income - Overall'!F46</f>
        <v>1133.19</v>
      </c>
      <c r="G47" s="13">
        <f>'Income - Overall'!G46</f>
        <v>0</v>
      </c>
      <c r="H47" s="13">
        <f>'Income - Overall'!H46</f>
        <v>0</v>
      </c>
      <c r="I47" s="13">
        <f>'Income - Overall'!I46</f>
        <v>0</v>
      </c>
      <c r="J47" s="13">
        <f>'Income - Overall'!J46</f>
        <v>0</v>
      </c>
      <c r="K47" s="13"/>
      <c r="L47" s="13"/>
      <c r="M47" s="13"/>
      <c r="N47" s="13">
        <f>SUM(B47:M47)</f>
        <v>3678.11</v>
      </c>
      <c r="O47" s="13"/>
      <c r="P47" s="13">
        <f>N47-O47</f>
        <v>3678.11</v>
      </c>
      <c r="Q47" s="13"/>
      <c r="R47" s="13"/>
      <c r="S47" s="13"/>
      <c r="T47" s="13"/>
      <c r="U47" s="13"/>
      <c r="V47" s="13"/>
      <c r="W47" s="13">
        <f>SUM(P47:V47)</f>
        <v>3678.11</v>
      </c>
      <c r="Y47" s="13">
        <f>SUMIF('Income - OverallBUD'!$C$2:$N$2,'Income - Forecast'!$Y$2,'Income - OverallBUD'!$C46:$N46)</f>
        <v>3600</v>
      </c>
      <c r="Z47" s="13">
        <f>N47-Y47</f>
        <v>78.110000000000127</v>
      </c>
      <c r="AB47" s="13">
        <f ca="1">SUMIF('Income - OverallPY'!$B$2:$N$2,'Income - Forecast'!$AB$2,'Income - OverallPY'!$B45:$M45)</f>
        <v>0</v>
      </c>
      <c r="AC47" s="13">
        <f ca="1">N47-AB47</f>
        <v>3678.11</v>
      </c>
      <c r="AD47" s="124" t="str">
        <f ca="1">IF(ISERROR((N47/AB47)-1),"-",(N47/AB47)-1)</f>
        <v>-</v>
      </c>
    </row>
    <row r="48" spans="1:30">
      <c r="A48" s="15" t="s">
        <v>73</v>
      </c>
      <c r="B48" s="13">
        <f>'Income - Overall'!B47</f>
        <v>33.840000000000003</v>
      </c>
      <c r="C48" s="13">
        <f>'Income - Overall'!C47</f>
        <v>22.42</v>
      </c>
      <c r="D48" s="13">
        <f>'Income - Overall'!D47</f>
        <v>17.399999999999999</v>
      </c>
      <c r="E48" s="13">
        <f>'Income - Overall'!E47</f>
        <v>12.34</v>
      </c>
      <c r="F48" s="13">
        <f>'Income - Overall'!F47</f>
        <v>19.05</v>
      </c>
      <c r="G48" s="13">
        <f>'Income - Overall'!G47</f>
        <v>0</v>
      </c>
      <c r="H48" s="13">
        <f>'Income - Overall'!H47</f>
        <v>0</v>
      </c>
      <c r="I48" s="13">
        <f>'Income - Overall'!I47</f>
        <v>0</v>
      </c>
      <c r="J48" s="13">
        <f>'Income - Overall'!J47</f>
        <v>0</v>
      </c>
      <c r="K48" s="13"/>
      <c r="L48" s="13"/>
      <c r="M48" s="13"/>
      <c r="N48" s="13">
        <f>SUM(B48:M48)</f>
        <v>105.05</v>
      </c>
      <c r="O48" s="13"/>
      <c r="P48" s="13">
        <f>N48-O48</f>
        <v>105.05</v>
      </c>
      <c r="Q48" s="13"/>
      <c r="R48" s="13"/>
      <c r="S48" s="13"/>
      <c r="T48" s="13"/>
      <c r="U48" s="13"/>
      <c r="V48" s="13"/>
      <c r="W48" s="13">
        <f>SUM(P48:V48)</f>
        <v>105.05</v>
      </c>
      <c r="Y48" s="13">
        <f>SUMIF('Income - OverallBUD'!$C$2:$N$2,'Income - Forecast'!$Y$2,'Income - OverallBUD'!$C47:$N47)</f>
        <v>0</v>
      </c>
      <c r="Z48" s="13">
        <f>N48-Y48</f>
        <v>105.05</v>
      </c>
      <c r="AB48" s="13">
        <f ca="1">SUMIF('Income - OverallPY'!$B$2:$N$2,'Income - Forecast'!$AB$2,'Income - OverallPY'!$B46:$M46)</f>
        <v>5785.3899999999994</v>
      </c>
      <c r="AC48" s="13">
        <f ca="1">N48-AB48</f>
        <v>-5680.3399999999992</v>
      </c>
      <c r="AD48" s="124">
        <f ca="1">IF(ISERROR((N48/AB48)-1),"-",(N48/AB48)-1)</f>
        <v>-0.98184219214262136</v>
      </c>
    </row>
    <row r="49" spans="1:30">
      <c r="A49" s="16" t="s">
        <v>74</v>
      </c>
      <c r="B49" s="27">
        <f>SUM(B47:B48)</f>
        <v>33.840000000000003</v>
      </c>
      <c r="C49" s="27">
        <f t="shared" ref="C49:W49" si="19">SUM(C47:C48)</f>
        <v>22.42</v>
      </c>
      <c r="D49" s="27">
        <f t="shared" si="19"/>
        <v>17.399999999999999</v>
      </c>
      <c r="E49" s="27">
        <f t="shared" si="19"/>
        <v>2557.2600000000002</v>
      </c>
      <c r="F49" s="27">
        <f t="shared" si="19"/>
        <v>1152.24</v>
      </c>
      <c r="G49" s="27">
        <f t="shared" si="19"/>
        <v>0</v>
      </c>
      <c r="H49" s="27">
        <f t="shared" si="19"/>
        <v>0</v>
      </c>
      <c r="I49" s="27">
        <f t="shared" si="19"/>
        <v>0</v>
      </c>
      <c r="J49" s="27">
        <f t="shared" si="19"/>
        <v>0</v>
      </c>
      <c r="K49" s="27">
        <f t="shared" si="19"/>
        <v>0</v>
      </c>
      <c r="L49" s="27">
        <f t="shared" si="19"/>
        <v>0</v>
      </c>
      <c r="M49" s="27">
        <f t="shared" si="19"/>
        <v>0</v>
      </c>
      <c r="N49" s="27">
        <f t="shared" si="19"/>
        <v>3783.1600000000003</v>
      </c>
      <c r="O49" s="27">
        <f t="shared" si="19"/>
        <v>0</v>
      </c>
      <c r="P49" s="27">
        <f t="shared" si="19"/>
        <v>3783.1600000000003</v>
      </c>
      <c r="Q49" s="27">
        <f t="shared" si="19"/>
        <v>0</v>
      </c>
      <c r="R49" s="27">
        <f t="shared" si="19"/>
        <v>0</v>
      </c>
      <c r="S49" s="27">
        <f t="shared" si="19"/>
        <v>0</v>
      </c>
      <c r="T49" s="27">
        <f t="shared" si="19"/>
        <v>0</v>
      </c>
      <c r="U49" s="27">
        <f t="shared" si="19"/>
        <v>0</v>
      </c>
      <c r="V49" s="27">
        <f t="shared" si="19"/>
        <v>0</v>
      </c>
      <c r="W49" s="27">
        <f t="shared" si="19"/>
        <v>3783.1600000000003</v>
      </c>
      <c r="Y49" s="27">
        <f>SUM(Y47:Y48)</f>
        <v>3600</v>
      </c>
      <c r="Z49" s="27">
        <f>SUM(Z47:Z48)</f>
        <v>183.16000000000014</v>
      </c>
      <c r="AB49" s="27">
        <f ca="1">SUM(AB47:AB48)</f>
        <v>5785.3899999999994</v>
      </c>
      <c r="AC49" s="27">
        <f ca="1">SUM(AC47:AC48)</f>
        <v>-2002.2299999999991</v>
      </c>
      <c r="AD49" s="135">
        <f ca="1">IF(ISERROR((N49/AB49)-1),"-",(N49/AB49)-1)</f>
        <v>-0.3460838422301693</v>
      </c>
    </row>
    <row r="50" spans="1:30">
      <c r="B50" s="13"/>
      <c r="C50" s="13"/>
      <c r="D50" s="13"/>
      <c r="E50" s="13"/>
      <c r="F50" s="13"/>
      <c r="G50" s="13"/>
      <c r="H50" s="13"/>
      <c r="I50" s="13"/>
      <c r="J50" s="13"/>
      <c r="K50" s="13"/>
      <c r="L50" s="13"/>
      <c r="M50" s="13"/>
      <c r="N50" s="13"/>
      <c r="O50" s="13"/>
      <c r="P50" s="13"/>
      <c r="Q50" s="13"/>
      <c r="R50" s="13"/>
      <c r="S50" s="13"/>
      <c r="T50" s="13"/>
      <c r="U50" s="13"/>
      <c r="V50" s="13"/>
      <c r="W50" s="13"/>
      <c r="AC50" s="13"/>
    </row>
    <row r="51" spans="1:30" ht="14.65" thickBot="1">
      <c r="A51" s="7" t="s">
        <v>75</v>
      </c>
      <c r="B51" s="28" t="e">
        <f>B49+B44+B40</f>
        <v>#REF!</v>
      </c>
      <c r="C51" s="28" t="e">
        <f t="shared" ref="C51:W51" si="20">C49+C44+C40</f>
        <v>#REF!</v>
      </c>
      <c r="D51" s="28" t="e">
        <f t="shared" si="20"/>
        <v>#REF!</v>
      </c>
      <c r="E51" s="28" t="e">
        <f t="shared" si="20"/>
        <v>#REF!</v>
      </c>
      <c r="F51" s="28" t="e">
        <f t="shared" si="20"/>
        <v>#REF!</v>
      </c>
      <c r="G51" s="28" t="e">
        <f t="shared" si="20"/>
        <v>#REF!</v>
      </c>
      <c r="H51" s="28" t="e">
        <f t="shared" si="20"/>
        <v>#REF!</v>
      </c>
      <c r="I51" s="28" t="e">
        <f t="shared" si="20"/>
        <v>#REF!</v>
      </c>
      <c r="J51" s="28" t="e">
        <f t="shared" si="20"/>
        <v>#REF!</v>
      </c>
      <c r="K51" s="28" t="e">
        <f t="shared" si="20"/>
        <v>#REF!</v>
      </c>
      <c r="L51" s="28" t="e">
        <f t="shared" si="20"/>
        <v>#REF!</v>
      </c>
      <c r="M51" s="28" t="e">
        <f t="shared" si="20"/>
        <v>#REF!</v>
      </c>
      <c r="N51" s="28" t="e">
        <f t="shared" si="20"/>
        <v>#REF!</v>
      </c>
      <c r="O51" s="28">
        <f t="shared" si="20"/>
        <v>0</v>
      </c>
      <c r="P51" s="28">
        <f t="shared" si="20"/>
        <v>157518.79999999999</v>
      </c>
      <c r="Q51" s="28">
        <f t="shared" si="20"/>
        <v>0</v>
      </c>
      <c r="R51" s="28">
        <f t="shared" si="20"/>
        <v>0</v>
      </c>
      <c r="S51" s="28">
        <f t="shared" si="20"/>
        <v>0</v>
      </c>
      <c r="T51" s="28">
        <f t="shared" si="20"/>
        <v>0</v>
      </c>
      <c r="U51" s="28">
        <f t="shared" si="20"/>
        <v>0</v>
      </c>
      <c r="V51" s="28">
        <f t="shared" si="20"/>
        <v>0</v>
      </c>
      <c r="W51" s="28">
        <f t="shared" si="20"/>
        <v>157518.79999999999</v>
      </c>
      <c r="Y51" s="28">
        <f>Y49+Y44+Y40</f>
        <v>170160</v>
      </c>
      <c r="Z51" s="28" t="e">
        <f>Z49+Z44+Z40</f>
        <v>#REF!</v>
      </c>
      <c r="AB51" s="28">
        <f ca="1">AB49+AB44+AB40</f>
        <v>152374.06</v>
      </c>
      <c r="AC51" s="28" t="e">
        <f ca="1">AC49+AC44+AC40</f>
        <v>#REF!</v>
      </c>
      <c r="AD51" s="126" t="str">
        <f ca="1">IF(ISERROR((N51/AB51)-1),"-",(N51/AB51)-1)</f>
        <v>-</v>
      </c>
    </row>
    <row r="52" spans="1:30">
      <c r="B52" s="13"/>
      <c r="C52" s="13"/>
      <c r="D52" s="13"/>
      <c r="E52" s="13"/>
      <c r="F52" s="13"/>
      <c r="G52" s="13"/>
      <c r="H52" s="13"/>
      <c r="I52" s="13"/>
      <c r="J52" s="13"/>
      <c r="K52" s="13"/>
      <c r="L52" s="13"/>
      <c r="M52" s="13"/>
      <c r="N52" s="13"/>
      <c r="O52" s="13"/>
      <c r="P52" s="13"/>
      <c r="Q52" s="13"/>
      <c r="R52" s="13"/>
      <c r="S52" s="13"/>
      <c r="T52" s="13"/>
      <c r="U52" s="13"/>
      <c r="V52" s="13"/>
      <c r="W52" s="13"/>
    </row>
    <row r="53" spans="1:30">
      <c r="A53" s="1" t="s">
        <v>76</v>
      </c>
      <c r="B53" s="13"/>
      <c r="C53" s="13"/>
      <c r="D53" s="13"/>
      <c r="E53" s="13"/>
      <c r="F53" s="13"/>
      <c r="G53" s="13"/>
      <c r="H53" s="13"/>
      <c r="I53" s="13"/>
      <c r="J53" s="13"/>
      <c r="K53" s="13"/>
      <c r="L53" s="13"/>
      <c r="M53" s="13"/>
      <c r="N53" s="13"/>
      <c r="O53" s="13"/>
      <c r="P53" s="13"/>
      <c r="Q53" s="13"/>
      <c r="R53" s="13"/>
      <c r="S53" s="13"/>
      <c r="T53" s="13"/>
      <c r="U53" s="13"/>
      <c r="V53" s="13"/>
      <c r="W53" s="13"/>
    </row>
    <row r="54" spans="1:30">
      <c r="A54" s="15" t="s">
        <v>77</v>
      </c>
      <c r="B54" s="13">
        <f>'Income - Overall'!B53</f>
        <v>310</v>
      </c>
      <c r="C54" s="13">
        <f>'Income - Overall'!C53</f>
        <v>0</v>
      </c>
      <c r="D54" s="13">
        <f>'Income - Overall'!D53</f>
        <v>0</v>
      </c>
      <c r="E54" s="13">
        <f>'Income - Overall'!E53</f>
        <v>0</v>
      </c>
      <c r="F54" s="13">
        <f>'Income - Overall'!F53</f>
        <v>0</v>
      </c>
      <c r="G54" s="13">
        <f>'Income - Overall'!G53</f>
        <v>0</v>
      </c>
      <c r="H54" s="13">
        <f>'Income - Overall'!H53</f>
        <v>0</v>
      </c>
      <c r="I54" s="13">
        <f>'Income - Overall'!I53</f>
        <v>0</v>
      </c>
      <c r="J54" s="13">
        <f>'Income - Overall'!J53</f>
        <v>0</v>
      </c>
      <c r="K54" s="13"/>
      <c r="L54" s="13"/>
      <c r="M54" s="13"/>
      <c r="N54" s="13">
        <f t="shared" ref="N54:N59" si="21">SUM(B54:M54)</f>
        <v>310</v>
      </c>
      <c r="O54" s="13"/>
      <c r="P54" s="13">
        <f t="shared" ref="P54:P59" si="22">N54-O54</f>
        <v>310</v>
      </c>
      <c r="Q54" s="13"/>
      <c r="R54" s="13"/>
      <c r="S54" s="13"/>
      <c r="T54" s="13"/>
      <c r="U54" s="13"/>
      <c r="V54" s="13"/>
      <c r="W54" s="13">
        <f t="shared" ref="W54:W59" si="23">SUM(P54:V54)</f>
        <v>310</v>
      </c>
      <c r="Y54" s="13">
        <f>SUMIF('Income - OverallBUD'!$C$2:$N$2,'Income - Forecast'!$Y$2,'Income - OverallBUD'!$C53:$N53)</f>
        <v>2040</v>
      </c>
      <c r="Z54" s="13">
        <f t="shared" ref="Z54:Z59" si="24">N54-Y54</f>
        <v>-1730</v>
      </c>
      <c r="AB54" s="13">
        <f ca="1">SUMIF('Income - OverallPY'!$B$2:$N$2,'Income - Forecast'!$AB$2,'Income - OverallPY'!$B52:$M52)</f>
        <v>0</v>
      </c>
      <c r="AC54" s="13">
        <f t="shared" ref="AC54:AC59" ca="1" si="25">N54-AB54</f>
        <v>310</v>
      </c>
      <c r="AD54" s="124" t="str">
        <f t="shared" ref="AD54:AD60" ca="1" si="26">IF(ISERROR((N54/AB54)-1),"-",(N54/AB54)-1)</f>
        <v>-</v>
      </c>
    </row>
    <row r="55" spans="1:30">
      <c r="A55" s="15" t="s">
        <v>78</v>
      </c>
      <c r="B55" s="13">
        <f>'Income - Overall'!B54</f>
        <v>0</v>
      </c>
      <c r="C55" s="13">
        <f>'Income - Overall'!C54</f>
        <v>0</v>
      </c>
      <c r="D55" s="13">
        <f>'Income - Overall'!D54</f>
        <v>0</v>
      </c>
      <c r="E55" s="13">
        <f>'Income - Overall'!E54</f>
        <v>0</v>
      </c>
      <c r="F55" s="13">
        <f>'Income - Overall'!F54</f>
        <v>0</v>
      </c>
      <c r="G55" s="13">
        <f>'Income - Overall'!G54</f>
        <v>0</v>
      </c>
      <c r="H55" s="13">
        <f>'Income - Overall'!H54</f>
        <v>0</v>
      </c>
      <c r="I55" s="13">
        <f>'Income - Overall'!I54</f>
        <v>0</v>
      </c>
      <c r="J55" s="13">
        <f>'Income - Overall'!J54</f>
        <v>0</v>
      </c>
      <c r="K55" s="13"/>
      <c r="L55" s="13"/>
      <c r="M55" s="13">
        <v>800</v>
      </c>
      <c r="N55" s="13">
        <f t="shared" si="21"/>
        <v>800</v>
      </c>
      <c r="O55" s="13"/>
      <c r="P55" s="13">
        <f t="shared" si="22"/>
        <v>800</v>
      </c>
      <c r="Q55" s="13"/>
      <c r="R55" s="13"/>
      <c r="S55" s="13"/>
      <c r="T55" s="13"/>
      <c r="U55" s="13"/>
      <c r="V55" s="13"/>
      <c r="W55" s="13">
        <f t="shared" si="23"/>
        <v>800</v>
      </c>
      <c r="Y55" s="13">
        <f>SUMIF('Income - OverallBUD'!$C$2:$N$2,'Income - Forecast'!$Y$2,'Income - OverallBUD'!$C54:$N54)</f>
        <v>0</v>
      </c>
      <c r="Z55" s="13">
        <f t="shared" si="24"/>
        <v>800</v>
      </c>
      <c r="AB55" s="13">
        <f ca="1">SUMIF('Income - OverallPY'!$B$2:$N$2,'Income - Forecast'!$AB$2,'Income - OverallPY'!$B53:$M53)</f>
        <v>2005</v>
      </c>
      <c r="AC55" s="13">
        <f t="shared" ca="1" si="25"/>
        <v>-1205</v>
      </c>
      <c r="AD55" s="124">
        <f t="shared" ca="1" si="26"/>
        <v>-0.60099750623441395</v>
      </c>
    </row>
    <row r="56" spans="1:30">
      <c r="A56" s="15" t="s">
        <v>79</v>
      </c>
      <c r="B56" s="13">
        <f>'Income - Overall'!B55</f>
        <v>0</v>
      </c>
      <c r="C56" s="13">
        <f>'Income - Overall'!C55</f>
        <v>0</v>
      </c>
      <c r="D56" s="13">
        <f>'Income - Overall'!D55</f>
        <v>0</v>
      </c>
      <c r="E56" s="13">
        <f>'Income - Overall'!E55</f>
        <v>0</v>
      </c>
      <c r="F56" s="13">
        <f>'Income - Overall'!F55</f>
        <v>0</v>
      </c>
      <c r="G56" s="13">
        <f>'Income - Overall'!G55</f>
        <v>0</v>
      </c>
      <c r="H56" s="13">
        <f>'Income - Overall'!H55</f>
        <v>0</v>
      </c>
      <c r="I56" s="13">
        <f>'Income - Overall'!I55</f>
        <v>0</v>
      </c>
      <c r="J56" s="13">
        <f>'Income - Overall'!J55</f>
        <v>0</v>
      </c>
      <c r="K56" s="13"/>
      <c r="L56" s="13"/>
      <c r="M56" s="13"/>
      <c r="N56" s="13">
        <f t="shared" si="21"/>
        <v>0</v>
      </c>
      <c r="O56" s="13"/>
      <c r="P56" s="13">
        <f t="shared" si="22"/>
        <v>0</v>
      </c>
      <c r="Q56" s="13"/>
      <c r="R56" s="13"/>
      <c r="S56" s="13"/>
      <c r="T56" s="13"/>
      <c r="U56" s="13"/>
      <c r="V56" s="13"/>
      <c r="W56" s="13">
        <f t="shared" si="23"/>
        <v>0</v>
      </c>
      <c r="Y56" s="13">
        <f>SUMIF('Income - OverallBUD'!$C$2:$N$2,'Income - Forecast'!$Y$2,'Income - OverallBUD'!$C55:$N55)</f>
        <v>1200</v>
      </c>
      <c r="Z56" s="13">
        <f t="shared" si="24"/>
        <v>-1200</v>
      </c>
      <c r="AB56" s="13">
        <f ca="1">SUMIF('Income - OverallPY'!$B$2:$N$2,'Income - Forecast'!$AB$2,'Income - OverallPY'!$B54:$M54)</f>
        <v>0</v>
      </c>
      <c r="AC56" s="13">
        <f t="shared" ca="1" si="25"/>
        <v>0</v>
      </c>
      <c r="AD56" s="124" t="str">
        <f t="shared" ca="1" si="26"/>
        <v>-</v>
      </c>
    </row>
    <row r="57" spans="1:30">
      <c r="A57" s="15" t="s">
        <v>80</v>
      </c>
      <c r="B57" s="13">
        <f>'Income - Overall'!B56</f>
        <v>0</v>
      </c>
      <c r="C57" s="13">
        <f>'Income - Overall'!C56</f>
        <v>0</v>
      </c>
      <c r="D57" s="13">
        <f>'Income - Overall'!D56</f>
        <v>0</v>
      </c>
      <c r="E57" s="13">
        <f t="shared" ref="E57:M59" si="27">AVERAGE($B57:$D57)</f>
        <v>0</v>
      </c>
      <c r="F57" s="13">
        <f t="shared" si="27"/>
        <v>0</v>
      </c>
      <c r="G57" s="13">
        <f t="shared" si="27"/>
        <v>0</v>
      </c>
      <c r="H57" s="13">
        <f t="shared" si="27"/>
        <v>0</v>
      </c>
      <c r="I57" s="13">
        <f t="shared" si="27"/>
        <v>0</v>
      </c>
      <c r="J57" s="13">
        <f t="shared" si="27"/>
        <v>0</v>
      </c>
      <c r="K57" s="13">
        <f t="shared" si="27"/>
        <v>0</v>
      </c>
      <c r="L57" s="13">
        <f t="shared" si="27"/>
        <v>0</v>
      </c>
      <c r="M57" s="13">
        <f t="shared" si="27"/>
        <v>0</v>
      </c>
      <c r="N57" s="13">
        <f t="shared" si="21"/>
        <v>0</v>
      </c>
      <c r="O57" s="13"/>
      <c r="P57" s="13">
        <f t="shared" si="22"/>
        <v>0</v>
      </c>
      <c r="Q57" s="13"/>
      <c r="R57" s="13"/>
      <c r="S57" s="13"/>
      <c r="T57" s="13"/>
      <c r="U57" s="13"/>
      <c r="V57" s="13"/>
      <c r="W57" s="13">
        <f t="shared" si="23"/>
        <v>0</v>
      </c>
      <c r="Z57" s="13">
        <f t="shared" si="24"/>
        <v>0</v>
      </c>
      <c r="AB57" s="13">
        <f ca="1">SUMIF('Income - OverallPY'!$B$2:$N$2,'Income - Forecast'!$AB$2,'Income - OverallPY'!$B55:$M55)</f>
        <v>0</v>
      </c>
      <c r="AC57" s="13">
        <f t="shared" ca="1" si="25"/>
        <v>0</v>
      </c>
      <c r="AD57" s="124" t="str">
        <f t="shared" ca="1" si="26"/>
        <v>-</v>
      </c>
    </row>
    <row r="58" spans="1:30">
      <c r="A58" s="15" t="s">
        <v>158</v>
      </c>
      <c r="B58" s="13" t="e">
        <f>'Income - Overall'!#REF!</f>
        <v>#REF!</v>
      </c>
      <c r="C58" s="13" t="e">
        <f>'Income - Overall'!#REF!</f>
        <v>#REF!</v>
      </c>
      <c r="D58" s="13" t="e">
        <f>'Income - Overall'!#REF!</f>
        <v>#REF!</v>
      </c>
      <c r="E58" s="13" t="e">
        <f>'Income - Overall'!#REF!</f>
        <v>#REF!</v>
      </c>
      <c r="F58" s="13" t="e">
        <f>'Income - Overall'!#REF!</f>
        <v>#REF!</v>
      </c>
      <c r="G58" s="13" t="e">
        <f>'Income - Overall'!#REF!</f>
        <v>#REF!</v>
      </c>
      <c r="H58" s="13" t="e">
        <f>'Income - Overall'!#REF!</f>
        <v>#REF!</v>
      </c>
      <c r="I58" s="13" t="e">
        <f>'Income - Overall'!#REF!</f>
        <v>#REF!</v>
      </c>
      <c r="J58" s="13" t="e">
        <f>'Income - Overall'!#REF!</f>
        <v>#REF!</v>
      </c>
      <c r="K58" s="13"/>
      <c r="L58" s="13"/>
      <c r="M58" s="13"/>
      <c r="N58" s="13" t="e">
        <f t="shared" si="21"/>
        <v>#REF!</v>
      </c>
      <c r="O58" s="13"/>
      <c r="P58" s="13" t="e">
        <f t="shared" si="22"/>
        <v>#REF!</v>
      </c>
      <c r="Q58" s="13"/>
      <c r="R58" s="13"/>
      <c r="S58" s="13"/>
      <c r="T58" s="13"/>
      <c r="U58" s="13"/>
      <c r="V58" s="13"/>
      <c r="W58" s="13" t="e">
        <f t="shared" si="23"/>
        <v>#REF!</v>
      </c>
      <c r="Z58" s="13" t="e">
        <f t="shared" si="24"/>
        <v>#REF!</v>
      </c>
      <c r="AB58" s="13" t="e">
        <f>SUMIF('Income - OverallPY'!$B$2:$N$2,'Income - Forecast'!$AB$2,'Income - OverallPY'!#REF!)</f>
        <v>#REF!</v>
      </c>
      <c r="AC58" s="13" t="e">
        <f t="shared" si="25"/>
        <v>#REF!</v>
      </c>
      <c r="AD58" s="124" t="str">
        <f t="shared" si="26"/>
        <v>-</v>
      </c>
    </row>
    <row r="59" spans="1:30">
      <c r="A59" s="15" t="s">
        <v>81</v>
      </c>
      <c r="B59" s="13">
        <f>'Income - Overall'!B57</f>
        <v>0</v>
      </c>
      <c r="C59" s="13">
        <f>'Income - Overall'!C57</f>
        <v>0</v>
      </c>
      <c r="D59" s="13">
        <f>'Income - Overall'!D57</f>
        <v>0</v>
      </c>
      <c r="E59" s="13">
        <f t="shared" si="27"/>
        <v>0</v>
      </c>
      <c r="F59" s="13">
        <f t="shared" si="27"/>
        <v>0</v>
      </c>
      <c r="G59" s="13">
        <f t="shared" si="27"/>
        <v>0</v>
      </c>
      <c r="H59" s="13">
        <f t="shared" si="27"/>
        <v>0</v>
      </c>
      <c r="I59" s="13">
        <f t="shared" si="27"/>
        <v>0</v>
      </c>
      <c r="J59" s="13">
        <f t="shared" si="27"/>
        <v>0</v>
      </c>
      <c r="K59" s="13">
        <f t="shared" si="27"/>
        <v>0</v>
      </c>
      <c r="L59" s="13">
        <f t="shared" si="27"/>
        <v>0</v>
      </c>
      <c r="M59" s="13">
        <f t="shared" si="27"/>
        <v>0</v>
      </c>
      <c r="N59" s="13">
        <f t="shared" si="21"/>
        <v>0</v>
      </c>
      <c r="O59" s="13"/>
      <c r="P59" s="13">
        <f t="shared" si="22"/>
        <v>0</v>
      </c>
      <c r="Q59" s="13"/>
      <c r="R59" s="13"/>
      <c r="S59" s="13"/>
      <c r="T59" s="13"/>
      <c r="U59" s="13"/>
      <c r="V59" s="13"/>
      <c r="W59" s="13">
        <f t="shared" si="23"/>
        <v>0</v>
      </c>
      <c r="Y59" s="13">
        <f>SUMIF('Income - OverallBUD'!$C$2:$N$2,'Income - Forecast'!$Y$2,'Income - OverallBUD'!$C57:$N57)</f>
        <v>3600</v>
      </c>
      <c r="Z59" s="13">
        <f t="shared" si="24"/>
        <v>-3600</v>
      </c>
      <c r="AB59" s="13">
        <f ca="1">SUMIF('Income - OverallPY'!$B$2:$N$2,'Income - Forecast'!$AB$2,'Income - OverallPY'!$B56:$M56)</f>
        <v>1074.92</v>
      </c>
      <c r="AC59" s="13">
        <f t="shared" ca="1" si="25"/>
        <v>-1074.92</v>
      </c>
      <c r="AD59" s="124">
        <f t="shared" ca="1" si="26"/>
        <v>-1</v>
      </c>
    </row>
    <row r="60" spans="1:30" ht="14.65" thickBot="1">
      <c r="A60" s="7" t="s">
        <v>82</v>
      </c>
      <c r="B60" s="29" t="e">
        <f>SUM(B54:B59)</f>
        <v>#REF!</v>
      </c>
      <c r="C60" s="29" t="e">
        <f t="shared" ref="C60:W60" si="28">SUM(C54:C59)</f>
        <v>#REF!</v>
      </c>
      <c r="D60" s="29" t="e">
        <f t="shared" si="28"/>
        <v>#REF!</v>
      </c>
      <c r="E60" s="29" t="e">
        <f t="shared" si="28"/>
        <v>#REF!</v>
      </c>
      <c r="F60" s="29" t="e">
        <f t="shared" si="28"/>
        <v>#REF!</v>
      </c>
      <c r="G60" s="29" t="e">
        <f t="shared" si="28"/>
        <v>#REF!</v>
      </c>
      <c r="H60" s="29" t="e">
        <f t="shared" si="28"/>
        <v>#REF!</v>
      </c>
      <c r="I60" s="29" t="e">
        <f t="shared" si="28"/>
        <v>#REF!</v>
      </c>
      <c r="J60" s="29" t="e">
        <f t="shared" si="28"/>
        <v>#REF!</v>
      </c>
      <c r="K60" s="29">
        <f t="shared" si="28"/>
        <v>0</v>
      </c>
      <c r="L60" s="29">
        <f t="shared" si="28"/>
        <v>0</v>
      </c>
      <c r="M60" s="29">
        <f t="shared" si="28"/>
        <v>800</v>
      </c>
      <c r="N60" s="29" t="e">
        <f t="shared" si="28"/>
        <v>#REF!</v>
      </c>
      <c r="O60" s="29">
        <f t="shared" si="28"/>
        <v>0</v>
      </c>
      <c r="P60" s="29" t="e">
        <f t="shared" si="28"/>
        <v>#REF!</v>
      </c>
      <c r="Q60" s="29">
        <f t="shared" si="28"/>
        <v>0</v>
      </c>
      <c r="R60" s="29">
        <f t="shared" si="28"/>
        <v>0</v>
      </c>
      <c r="S60" s="29">
        <f t="shared" si="28"/>
        <v>0</v>
      </c>
      <c r="T60" s="29">
        <f t="shared" si="28"/>
        <v>0</v>
      </c>
      <c r="U60" s="29">
        <f t="shared" si="28"/>
        <v>0</v>
      </c>
      <c r="V60" s="29">
        <f t="shared" si="28"/>
        <v>0</v>
      </c>
      <c r="W60" s="29" t="e">
        <f t="shared" si="28"/>
        <v>#REF!</v>
      </c>
      <c r="Y60" s="29">
        <f>SUM(Y54:Y59)</f>
        <v>6840</v>
      </c>
      <c r="Z60" s="29" t="e">
        <f>SUM(Z54:Z59)</f>
        <v>#REF!</v>
      </c>
      <c r="AB60" s="29" t="e">
        <f ca="1">SUM(AB54:AB59)</f>
        <v>#REF!</v>
      </c>
      <c r="AC60" s="29" t="e">
        <f ca="1">SUM(AC54:AC59)</f>
        <v>#REF!</v>
      </c>
      <c r="AD60" s="126" t="str">
        <f t="shared" ca="1" si="26"/>
        <v>-</v>
      </c>
    </row>
    <row r="61" spans="1:30">
      <c r="B61" s="13"/>
      <c r="C61" s="13"/>
      <c r="D61" s="13"/>
      <c r="E61" s="13"/>
      <c r="F61" s="13"/>
      <c r="G61" s="13"/>
      <c r="H61" s="13"/>
      <c r="I61" s="13"/>
      <c r="J61" s="13"/>
      <c r="K61" s="13"/>
      <c r="L61" s="13"/>
      <c r="M61" s="13"/>
      <c r="N61" s="13"/>
      <c r="O61" s="13"/>
      <c r="P61" s="13"/>
      <c r="Q61" s="13"/>
      <c r="R61" s="13"/>
      <c r="S61" s="13"/>
      <c r="T61" s="13"/>
      <c r="U61" s="13"/>
      <c r="V61" s="13"/>
      <c r="W61" s="13"/>
      <c r="AC61" s="13"/>
    </row>
    <row r="62" spans="1:30" ht="14.65" thickBot="1">
      <c r="A62" s="7" t="s">
        <v>83</v>
      </c>
      <c r="B62" s="29" t="e">
        <f>B51+B60</f>
        <v>#REF!</v>
      </c>
      <c r="C62" s="29" t="e">
        <f t="shared" ref="C62:W62" si="29">C51+C60</f>
        <v>#REF!</v>
      </c>
      <c r="D62" s="29" t="e">
        <f t="shared" si="29"/>
        <v>#REF!</v>
      </c>
      <c r="E62" s="29" t="e">
        <f t="shared" si="29"/>
        <v>#REF!</v>
      </c>
      <c r="F62" s="29" t="e">
        <f t="shared" si="29"/>
        <v>#REF!</v>
      </c>
      <c r="G62" s="29" t="e">
        <f t="shared" si="29"/>
        <v>#REF!</v>
      </c>
      <c r="H62" s="29" t="e">
        <f t="shared" si="29"/>
        <v>#REF!</v>
      </c>
      <c r="I62" s="29" t="e">
        <f t="shared" si="29"/>
        <v>#REF!</v>
      </c>
      <c r="J62" s="29" t="e">
        <f t="shared" si="29"/>
        <v>#REF!</v>
      </c>
      <c r="K62" s="29" t="e">
        <f t="shared" si="29"/>
        <v>#REF!</v>
      </c>
      <c r="L62" s="29" t="e">
        <f t="shared" si="29"/>
        <v>#REF!</v>
      </c>
      <c r="M62" s="29" t="e">
        <f t="shared" si="29"/>
        <v>#REF!</v>
      </c>
      <c r="N62" s="29" t="e">
        <f t="shared" si="29"/>
        <v>#REF!</v>
      </c>
      <c r="O62" s="29">
        <f t="shared" si="29"/>
        <v>0</v>
      </c>
      <c r="P62" s="29" t="e">
        <f t="shared" si="29"/>
        <v>#REF!</v>
      </c>
      <c r="Q62" s="29">
        <f t="shared" si="29"/>
        <v>0</v>
      </c>
      <c r="R62" s="29">
        <f t="shared" si="29"/>
        <v>0</v>
      </c>
      <c r="S62" s="29">
        <f t="shared" si="29"/>
        <v>0</v>
      </c>
      <c r="T62" s="29">
        <f t="shared" si="29"/>
        <v>0</v>
      </c>
      <c r="U62" s="29">
        <f t="shared" si="29"/>
        <v>0</v>
      </c>
      <c r="V62" s="29">
        <f t="shared" si="29"/>
        <v>0</v>
      </c>
      <c r="W62" s="29" t="e">
        <f t="shared" si="29"/>
        <v>#REF!</v>
      </c>
      <c r="Y62" s="29">
        <f>Y51+Y60</f>
        <v>177000</v>
      </c>
      <c r="Z62" s="29" t="e">
        <f>Z51+Z60</f>
        <v>#REF!</v>
      </c>
      <c r="AB62" s="29" t="e">
        <f ca="1">AB51+AB60</f>
        <v>#REF!</v>
      </c>
      <c r="AC62" s="29" t="e">
        <f ca="1">AC51+AC60</f>
        <v>#REF!</v>
      </c>
      <c r="AD62" s="138" t="str">
        <f ca="1">IF(ISERROR((N62/AB62)-1),"-",(N62/AB62)-1)</f>
        <v>-</v>
      </c>
    </row>
    <row r="63" spans="1:30">
      <c r="B63" s="13"/>
      <c r="C63" s="13"/>
      <c r="D63" s="13"/>
      <c r="E63" s="13"/>
      <c r="F63" s="13"/>
      <c r="G63" s="13"/>
      <c r="H63" s="13"/>
      <c r="I63" s="13"/>
      <c r="J63" s="13"/>
      <c r="K63" s="13"/>
      <c r="L63" s="13"/>
      <c r="M63" s="13"/>
      <c r="N63" s="13"/>
      <c r="O63" s="13"/>
      <c r="P63" s="13"/>
      <c r="Q63" s="13"/>
      <c r="R63" s="13"/>
      <c r="S63" s="13"/>
      <c r="T63" s="13"/>
      <c r="U63" s="13"/>
      <c r="V63" s="13"/>
      <c r="W63" s="13"/>
      <c r="AC63" s="4"/>
    </row>
    <row r="64" spans="1:30" s="41" customFormat="1" ht="14.65" thickBot="1">
      <c r="A64" s="41" t="s">
        <v>84</v>
      </c>
      <c r="B64" s="42" t="e">
        <f>B62-'Expend - Forecast'!B63</f>
        <v>#REF!</v>
      </c>
      <c r="C64" s="42" t="e">
        <f>C62-'Expend - Forecast'!C63</f>
        <v>#REF!</v>
      </c>
      <c r="D64" s="42" t="e">
        <f>D62-'Expend - Forecast'!D63</f>
        <v>#REF!</v>
      </c>
      <c r="E64" s="42" t="e">
        <f>E62-'Expend - Forecast'!E63</f>
        <v>#REF!</v>
      </c>
      <c r="F64" s="42" t="e">
        <f>F62-'Expend - Forecast'!F63</f>
        <v>#REF!</v>
      </c>
      <c r="G64" s="42" t="e">
        <f>G62-'Expend - Forecast'!G63</f>
        <v>#REF!</v>
      </c>
      <c r="H64" s="42" t="e">
        <f>H62-'Expend - Forecast'!H63</f>
        <v>#REF!</v>
      </c>
      <c r="I64" s="42" t="e">
        <f>I62-'Expend - Forecast'!I63</f>
        <v>#REF!</v>
      </c>
      <c r="J64" s="42" t="e">
        <f>J62-'Expend - Forecast'!J63</f>
        <v>#REF!</v>
      </c>
      <c r="K64" s="42" t="e">
        <f>K62-'Expend - Forecast'!K63</f>
        <v>#REF!</v>
      </c>
      <c r="L64" s="42" t="e">
        <f>L62-'Expend - Forecast'!L63</f>
        <v>#REF!</v>
      </c>
      <c r="M64" s="42" t="e">
        <f>M62-'Expend - Forecast'!M63</f>
        <v>#REF!</v>
      </c>
      <c r="N64" s="42" t="e">
        <f>N62-'Expend - Forecast'!N63</f>
        <v>#REF!</v>
      </c>
      <c r="O64" s="42">
        <f>O62-'Expend - Overall'!O62</f>
        <v>0</v>
      </c>
      <c r="P64" s="42" t="e">
        <f>P62-'Expend - Overall'!P62</f>
        <v>#REF!</v>
      </c>
      <c r="Q64" s="42">
        <f>Q62-'Expend - Overall'!Q62</f>
        <v>0</v>
      </c>
      <c r="R64" s="42">
        <f>R62-'Expend - Overall'!R62</f>
        <v>0</v>
      </c>
      <c r="S64" s="42">
        <f>S62-'Expend - Overall'!S62</f>
        <v>0</v>
      </c>
      <c r="T64" s="42">
        <f>T62-'Expend - Overall'!T62</f>
        <v>0</v>
      </c>
      <c r="U64" s="42">
        <f>U62-'Expend - Overall'!U62</f>
        <v>0</v>
      </c>
      <c r="V64" s="42">
        <f>V62-'Expend - Overall'!V62</f>
        <v>0</v>
      </c>
      <c r="W64" s="42" t="e">
        <f>W62-'Expend - Overall'!W62</f>
        <v>#REF!</v>
      </c>
      <c r="Y64" s="42" t="e">
        <f>Y62-'Expend - Forecast'!Y63</f>
        <v>#REF!</v>
      </c>
      <c r="Z64" s="42" t="e">
        <f>N64-Y64</f>
        <v>#REF!</v>
      </c>
      <c r="AB64" s="42" t="e">
        <f ca="1">AB62-'Expend - Forecast'!AB63</f>
        <v>#REF!</v>
      </c>
      <c r="AC64" s="42" t="e">
        <f ca="1">AC62+'Expend - Overall'!AC62</f>
        <v>#REF!</v>
      </c>
      <c r="AD64" s="138" t="str">
        <f ca="1">IF(ISERROR((N64/AB64)-1),"-",(N64/AB64)-1)</f>
        <v>-</v>
      </c>
    </row>
    <row r="65" spans="1:29" s="41" customFormat="1">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9">
        <f>'Income - OverallBUD'!O60-'Expend - OverallBUD'!O62</f>
        <v>-31534</v>
      </c>
      <c r="Z65" s="133"/>
      <c r="AA65" s="133"/>
      <c r="AB65" s="139">
        <f>'Income - OverallPY'!N59-'Expend - OverallPY'!N62</f>
        <v>-205145.02999999997</v>
      </c>
      <c r="AC65" s="133"/>
    </row>
    <row r="66" spans="1:29" s="41" customFormat="1">
      <c r="A66" s="41" t="s">
        <v>85</v>
      </c>
      <c r="B66" s="133" t="e">
        <f>B64</f>
        <v>#REF!</v>
      </c>
      <c r="C66" s="133" t="e">
        <f t="shared" ref="C66:M66" si="30">B66+C64</f>
        <v>#REF!</v>
      </c>
      <c r="D66" s="133" t="e">
        <f t="shared" si="30"/>
        <v>#REF!</v>
      </c>
      <c r="E66" s="133" t="e">
        <f t="shared" si="30"/>
        <v>#REF!</v>
      </c>
      <c r="F66" s="133" t="e">
        <f t="shared" si="30"/>
        <v>#REF!</v>
      </c>
      <c r="G66" s="133" t="e">
        <f t="shared" si="30"/>
        <v>#REF!</v>
      </c>
      <c r="H66" s="133" t="e">
        <f t="shared" si="30"/>
        <v>#REF!</v>
      </c>
      <c r="I66" s="133" t="e">
        <f t="shared" si="30"/>
        <v>#REF!</v>
      </c>
      <c r="J66" s="133" t="e">
        <f t="shared" si="30"/>
        <v>#REF!</v>
      </c>
      <c r="K66" s="133" t="e">
        <f t="shared" si="30"/>
        <v>#REF!</v>
      </c>
      <c r="L66" s="133" t="e">
        <f t="shared" si="30"/>
        <v>#REF!</v>
      </c>
      <c r="M66" s="133" t="e">
        <f t="shared" si="30"/>
        <v>#REF!</v>
      </c>
      <c r="N66" s="133"/>
      <c r="O66" s="133">
        <f>O62-O65</f>
        <v>0</v>
      </c>
      <c r="P66" s="133"/>
      <c r="Q66" s="133"/>
      <c r="R66" s="133"/>
      <c r="S66" s="133"/>
      <c r="T66" s="133"/>
      <c r="U66" s="133"/>
      <c r="V66" s="133"/>
      <c r="W66" s="133"/>
      <c r="X66" s="133"/>
      <c r="Y66" s="133"/>
      <c r="Z66" s="133"/>
      <c r="AA66" s="133"/>
      <c r="AB66" s="133"/>
      <c r="AC66" s="133"/>
    </row>
    <row r="67" spans="1:29">
      <c r="B67" s="13"/>
      <c r="C67" s="13"/>
      <c r="D67" s="13"/>
      <c r="E67" s="13"/>
      <c r="F67" s="13"/>
      <c r="G67" s="13"/>
      <c r="H67" s="13"/>
      <c r="I67" s="13"/>
      <c r="J67" s="13"/>
      <c r="K67" s="13"/>
      <c r="L67" s="13"/>
      <c r="M67" s="13"/>
      <c r="P67" s="13"/>
      <c r="Q67" s="13"/>
      <c r="R67" s="13"/>
      <c r="S67" s="13"/>
      <c r="T67" s="13"/>
      <c r="U67" s="13"/>
      <c r="V67" s="13"/>
      <c r="W67" s="13"/>
      <c r="X67" s="13"/>
      <c r="AA67" s="13"/>
      <c r="AC67" s="13"/>
    </row>
  </sheetData>
  <pageMargins left="0.70866141732283472" right="0.70866141732283472" top="0.74803149606299213" bottom="0.74803149606299213" header="0.31496062992125984" footer="0.31496062992125984"/>
  <pageSetup paperSize="9" scale="4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T67"/>
  <sheetViews>
    <sheetView topLeftCell="A34" zoomScale="90" zoomScaleNormal="90" workbookViewId="0">
      <selection activeCell="C10" sqref="C10:O62"/>
    </sheetView>
  </sheetViews>
  <sheetFormatPr defaultRowHeight="14.25"/>
  <cols>
    <col min="1" max="1" width="47.5703125" bestFit="1" customWidth="1"/>
    <col min="2" max="2" width="10" style="5" bestFit="1" customWidth="1"/>
    <col min="3" max="3" width="7.5703125" style="4" bestFit="1" customWidth="1"/>
    <col min="4" max="4" width="8" style="4" bestFit="1" customWidth="1"/>
    <col min="5" max="5" width="7.5703125" style="4" bestFit="1" customWidth="1"/>
    <col min="6" max="6" width="8" style="4" bestFit="1" customWidth="1"/>
    <col min="7" max="13" width="9" style="4" bestFit="1" customWidth="1"/>
    <col min="14" max="14" width="8.140625" style="4" bestFit="1" customWidth="1"/>
    <col min="15" max="15" width="9" style="4" bestFit="1" customWidth="1"/>
  </cols>
  <sheetData>
    <row r="1" spans="1:17">
      <c r="A1" s="1" t="s">
        <v>0</v>
      </c>
      <c r="B1" s="2"/>
      <c r="C1" s="3"/>
    </row>
    <row r="2" spans="1:17">
      <c r="A2" s="1" t="s">
        <v>10</v>
      </c>
      <c r="B2" s="141" t="s">
        <v>376</v>
      </c>
      <c r="C2" s="78">
        <v>12</v>
      </c>
      <c r="D2" s="78">
        <v>12</v>
      </c>
      <c r="E2" s="78">
        <v>12</v>
      </c>
      <c r="F2" s="78">
        <v>12</v>
      </c>
      <c r="G2" s="78">
        <v>12</v>
      </c>
      <c r="H2" s="78">
        <v>12</v>
      </c>
      <c r="I2" s="78">
        <v>12</v>
      </c>
      <c r="J2" s="78">
        <v>12</v>
      </c>
      <c r="K2" s="78">
        <v>12</v>
      </c>
      <c r="L2" s="78">
        <v>12</v>
      </c>
      <c r="M2" s="78">
        <v>12</v>
      </c>
      <c r="N2" s="78">
        <v>12</v>
      </c>
    </row>
    <row r="3" spans="1:17">
      <c r="A3" s="1" t="s">
        <v>377</v>
      </c>
      <c r="B3" s="2"/>
      <c r="C3" s="78">
        <v>1</v>
      </c>
      <c r="D3" s="78">
        <v>2</v>
      </c>
      <c r="E3" s="78">
        <v>3</v>
      </c>
      <c r="F3" s="78">
        <v>4</v>
      </c>
      <c r="G3" s="78">
        <v>5</v>
      </c>
      <c r="H3" s="78">
        <v>6</v>
      </c>
      <c r="I3" s="78">
        <v>7</v>
      </c>
      <c r="J3" s="78">
        <v>8</v>
      </c>
      <c r="K3" s="78">
        <v>9</v>
      </c>
      <c r="L3" s="78">
        <v>10</v>
      </c>
      <c r="M3" s="78">
        <v>11</v>
      </c>
      <c r="N3" s="78">
        <v>12</v>
      </c>
    </row>
    <row r="4" spans="1:17">
      <c r="A4" s="1" t="s">
        <v>12</v>
      </c>
      <c r="C4" s="78">
        <f>IF('Income - Overall'!$Y$2&gt;='Income - OverallBUD'!C3,'Income - Overall'!$Y$2,0)</f>
        <v>5</v>
      </c>
      <c r="D4" s="78">
        <f>IF('Income - Overall'!$Y$2&gt;='Income - OverallBUD'!D3,'Income - Overall'!$Y$2,0)</f>
        <v>5</v>
      </c>
      <c r="E4" s="78">
        <f>IF('Income - Overall'!$Y$2&gt;='Income - OverallBUD'!E3,'Income - Overall'!$Y$2,0)</f>
        <v>5</v>
      </c>
      <c r="F4" s="78">
        <f>IF('Income - Overall'!$Y$2&gt;='Income - OverallBUD'!F3,'Income - Overall'!$Y$2,0)</f>
        <v>5</v>
      </c>
      <c r="G4" s="78">
        <f>IF('Income - Overall'!$Y$2&gt;='Income - OverallBUD'!G3,'Income - Overall'!$Y$2,0)</f>
        <v>5</v>
      </c>
      <c r="H4" s="78">
        <f>IF('Income - Overall'!$Y$2&gt;='Income - OverallBUD'!H3,'Income - Overall'!$Y$2,0)</f>
        <v>0</v>
      </c>
      <c r="I4" s="78">
        <f>IF('Income - Overall'!$Y$2&gt;='Income - OverallBUD'!I3,'Income - Overall'!$Y$2,0)</f>
        <v>0</v>
      </c>
      <c r="J4" s="78">
        <f>IF('Income - Overall'!$Y$2&gt;='Income - OverallBUD'!J3,'Income - Overall'!$Y$2,0)</f>
        <v>0</v>
      </c>
      <c r="K4" s="78">
        <f>IF('Income - Overall'!$Y$2&gt;='Income - OverallBUD'!K3,'Income - Overall'!$Y$2,0)</f>
        <v>0</v>
      </c>
      <c r="L4" s="78">
        <f>IF('Income - Overall'!$Y$2&gt;='Income - OverallBUD'!L3,'Income - Overall'!$Y$2,0)</f>
        <v>0</v>
      </c>
      <c r="M4" s="78">
        <f>IF('Income - Overall'!$Y$2&gt;='Income - OverallBUD'!M3,'Income - Overall'!$Y$2,0)</f>
        <v>0</v>
      </c>
      <c r="N4" s="78">
        <f>IF('Income - Overall'!$Y$2&gt;='Income - OverallBUD'!N3,'Income - Overall'!$Y$2,0)</f>
        <v>0</v>
      </c>
    </row>
    <row r="5" spans="1:17">
      <c r="A5" s="7"/>
      <c r="B5" s="7"/>
      <c r="C5" s="7"/>
      <c r="D5" s="7"/>
      <c r="E5" s="7"/>
      <c r="F5" s="7"/>
      <c r="G5" s="7"/>
      <c r="H5" s="7"/>
      <c r="I5" s="7"/>
      <c r="J5" s="7"/>
      <c r="K5" s="7"/>
      <c r="L5" s="7"/>
      <c r="M5" s="7"/>
      <c r="N5" s="7"/>
      <c r="O5" s="7"/>
    </row>
    <row r="6" spans="1:17">
      <c r="A6" s="12"/>
      <c r="B6" s="6" t="s">
        <v>134</v>
      </c>
      <c r="C6" s="12" t="s">
        <v>22</v>
      </c>
      <c r="D6" s="12" t="s">
        <v>23</v>
      </c>
      <c r="E6" s="12" t="s">
        <v>24</v>
      </c>
      <c r="F6" s="12" t="s">
        <v>25</v>
      </c>
      <c r="G6" s="12" t="s">
        <v>26</v>
      </c>
      <c r="H6" s="12" t="s">
        <v>27</v>
      </c>
      <c r="I6" s="12" t="s">
        <v>28</v>
      </c>
      <c r="J6" s="12" t="s">
        <v>29</v>
      </c>
      <c r="K6" s="12" t="s">
        <v>30</v>
      </c>
      <c r="L6" s="12" t="s">
        <v>31</v>
      </c>
      <c r="M6" s="12" t="s">
        <v>32</v>
      </c>
      <c r="N6" s="12" t="s">
        <v>33</v>
      </c>
      <c r="O6" s="12" t="s">
        <v>34</v>
      </c>
    </row>
    <row r="7" spans="1:17">
      <c r="A7" s="1" t="s">
        <v>44</v>
      </c>
      <c r="B7" s="6"/>
      <c r="C7" s="12"/>
      <c r="D7" s="12"/>
      <c r="E7" s="12"/>
      <c r="F7" s="12"/>
      <c r="G7" s="12"/>
      <c r="H7" s="12"/>
      <c r="I7" s="12"/>
      <c r="J7" s="12"/>
      <c r="K7" s="12"/>
      <c r="L7" s="12"/>
      <c r="M7" s="12"/>
      <c r="N7" s="12"/>
      <c r="O7" s="12"/>
    </row>
    <row r="8" spans="1:17">
      <c r="A8" s="1" t="s">
        <v>45</v>
      </c>
      <c r="B8" s="6"/>
      <c r="C8" s="12"/>
      <c r="D8" s="12"/>
      <c r="E8" s="12"/>
      <c r="F8" s="12"/>
      <c r="G8" s="12"/>
      <c r="H8" s="12"/>
      <c r="I8" s="12"/>
      <c r="J8" s="12"/>
      <c r="K8" s="12"/>
      <c r="L8" s="12"/>
      <c r="M8" s="12"/>
      <c r="N8" s="12"/>
      <c r="O8" s="12"/>
    </row>
    <row r="9" spans="1:17">
      <c r="A9" s="7" t="s">
        <v>46</v>
      </c>
    </row>
    <row r="10" spans="1:17">
      <c r="A10" s="15" t="s">
        <v>47</v>
      </c>
      <c r="B10" s="5" t="s">
        <v>135</v>
      </c>
      <c r="C10" s="13">
        <v>5200</v>
      </c>
      <c r="D10" s="13">
        <v>5200</v>
      </c>
      <c r="E10" s="13">
        <v>5200</v>
      </c>
      <c r="F10" s="13">
        <v>5200</v>
      </c>
      <c r="G10" s="13">
        <v>5200</v>
      </c>
      <c r="H10" s="13">
        <v>5200</v>
      </c>
      <c r="I10" s="13">
        <v>5200</v>
      </c>
      <c r="J10" s="13">
        <v>5200</v>
      </c>
      <c r="K10" s="13">
        <v>5200</v>
      </c>
      <c r="L10" s="13">
        <v>5200</v>
      </c>
      <c r="M10" s="13">
        <v>5200</v>
      </c>
      <c r="N10" s="13">
        <v>5200</v>
      </c>
      <c r="O10" s="13">
        <v>62400</v>
      </c>
      <c r="Q10" s="13"/>
    </row>
    <row r="11" spans="1:17">
      <c r="A11" s="15" t="s">
        <v>48</v>
      </c>
      <c r="B11" s="5" t="s">
        <v>136</v>
      </c>
      <c r="C11" s="13">
        <v>550</v>
      </c>
      <c r="D11" s="13">
        <v>550</v>
      </c>
      <c r="E11" s="13">
        <v>550</v>
      </c>
      <c r="F11" s="13">
        <v>550</v>
      </c>
      <c r="G11" s="13">
        <v>550</v>
      </c>
      <c r="H11" s="13">
        <v>550</v>
      </c>
      <c r="I11" s="13">
        <v>550</v>
      </c>
      <c r="J11" s="13">
        <v>550</v>
      </c>
      <c r="K11" s="13">
        <v>550</v>
      </c>
      <c r="L11" s="13">
        <v>550</v>
      </c>
      <c r="M11" s="13">
        <v>550</v>
      </c>
      <c r="N11" s="13">
        <v>550</v>
      </c>
      <c r="O11" s="13">
        <v>6600</v>
      </c>
      <c r="Q11" s="13"/>
    </row>
    <row r="12" spans="1:17">
      <c r="A12" s="15" t="s">
        <v>49</v>
      </c>
      <c r="B12" s="5" t="s">
        <v>137</v>
      </c>
      <c r="C12" s="13">
        <v>0</v>
      </c>
      <c r="D12" s="13">
        <v>0</v>
      </c>
      <c r="E12" s="13">
        <v>0</v>
      </c>
      <c r="F12" s="13">
        <v>0</v>
      </c>
      <c r="G12" s="13">
        <v>0</v>
      </c>
      <c r="H12" s="13">
        <v>0</v>
      </c>
      <c r="I12" s="13">
        <v>0</v>
      </c>
      <c r="J12" s="13">
        <v>0</v>
      </c>
      <c r="K12" s="13">
        <v>0</v>
      </c>
      <c r="L12" s="13">
        <v>0</v>
      </c>
      <c r="M12" s="13">
        <v>0</v>
      </c>
      <c r="N12" s="13">
        <v>0</v>
      </c>
      <c r="O12" s="13">
        <v>0</v>
      </c>
      <c r="Q12" s="13"/>
    </row>
    <row r="13" spans="1:17">
      <c r="A13" s="15" t="s">
        <v>50</v>
      </c>
      <c r="B13" s="5" t="s">
        <v>138</v>
      </c>
      <c r="C13" s="13">
        <v>90</v>
      </c>
      <c r="D13" s="13">
        <v>90</v>
      </c>
      <c r="E13" s="13">
        <v>90</v>
      </c>
      <c r="F13" s="13">
        <v>90</v>
      </c>
      <c r="G13" s="13">
        <v>90</v>
      </c>
      <c r="H13" s="13">
        <v>90</v>
      </c>
      <c r="I13" s="13">
        <v>90</v>
      </c>
      <c r="J13" s="13">
        <v>90</v>
      </c>
      <c r="K13" s="13">
        <v>90</v>
      </c>
      <c r="L13" s="13">
        <v>90</v>
      </c>
      <c r="M13" s="13">
        <v>90</v>
      </c>
      <c r="N13" s="13">
        <v>90</v>
      </c>
      <c r="O13" s="13">
        <v>1080</v>
      </c>
      <c r="Q13" s="13"/>
    </row>
    <row r="14" spans="1:17">
      <c r="A14" s="15" t="s">
        <v>51</v>
      </c>
      <c r="B14" s="5" t="s">
        <v>139</v>
      </c>
      <c r="C14" s="13">
        <v>575</v>
      </c>
      <c r="D14" s="13">
        <v>575</v>
      </c>
      <c r="E14" s="13">
        <v>575</v>
      </c>
      <c r="F14" s="13">
        <v>575</v>
      </c>
      <c r="G14" s="13">
        <v>575</v>
      </c>
      <c r="H14" s="13">
        <v>575</v>
      </c>
      <c r="I14" s="13">
        <v>575</v>
      </c>
      <c r="J14" s="13">
        <v>575</v>
      </c>
      <c r="K14" s="13">
        <v>575</v>
      </c>
      <c r="L14" s="13">
        <v>575</v>
      </c>
      <c r="M14" s="13">
        <v>575</v>
      </c>
      <c r="N14" s="13">
        <v>575</v>
      </c>
      <c r="O14" s="13">
        <v>6900</v>
      </c>
      <c r="Q14" s="13"/>
    </row>
    <row r="15" spans="1:17">
      <c r="A15" s="15" t="s">
        <v>52</v>
      </c>
      <c r="B15" s="5" t="s">
        <v>140</v>
      </c>
      <c r="C15" s="13">
        <v>350</v>
      </c>
      <c r="D15" s="13">
        <v>350</v>
      </c>
      <c r="E15" s="13">
        <v>350</v>
      </c>
      <c r="F15" s="13">
        <v>350</v>
      </c>
      <c r="G15" s="13">
        <v>350</v>
      </c>
      <c r="H15" s="13">
        <v>350</v>
      </c>
      <c r="I15" s="13">
        <v>350</v>
      </c>
      <c r="J15" s="13">
        <v>350</v>
      </c>
      <c r="K15" s="13">
        <v>350</v>
      </c>
      <c r="L15" s="13">
        <v>350</v>
      </c>
      <c r="M15" s="13">
        <v>350</v>
      </c>
      <c r="N15" s="13">
        <v>350</v>
      </c>
      <c r="O15" s="13">
        <v>4200</v>
      </c>
      <c r="Q15" s="13"/>
    </row>
    <row r="16" spans="1:17">
      <c r="A16" s="7" t="s">
        <v>53</v>
      </c>
      <c r="B16" s="8"/>
      <c r="C16" s="26">
        <v>6765</v>
      </c>
      <c r="D16" s="26">
        <v>6765</v>
      </c>
      <c r="E16" s="26">
        <v>6765</v>
      </c>
      <c r="F16" s="26">
        <v>6765</v>
      </c>
      <c r="G16" s="26">
        <v>6765</v>
      </c>
      <c r="H16" s="26">
        <v>6765</v>
      </c>
      <c r="I16" s="26">
        <v>6765</v>
      </c>
      <c r="J16" s="26">
        <v>6765</v>
      </c>
      <c r="K16" s="26">
        <v>6765</v>
      </c>
      <c r="L16" s="26">
        <v>6765</v>
      </c>
      <c r="M16" s="26">
        <v>6765</v>
      </c>
      <c r="N16" s="26">
        <v>6765</v>
      </c>
      <c r="O16" s="26">
        <v>81180</v>
      </c>
    </row>
    <row r="17" spans="1:20">
      <c r="C17" s="13"/>
      <c r="D17" s="13"/>
      <c r="E17" s="13"/>
      <c r="F17" s="13"/>
      <c r="G17" s="13"/>
      <c r="H17" s="13"/>
      <c r="I17" s="13"/>
      <c r="J17" s="13"/>
      <c r="K17" s="13"/>
      <c r="L17" s="13"/>
      <c r="M17" s="13"/>
      <c r="N17" s="13"/>
      <c r="O17" s="13"/>
    </row>
    <row r="18" spans="1:20" s="48" customFormat="1">
      <c r="A18" s="50" t="s">
        <v>54</v>
      </c>
      <c r="B18" s="55"/>
      <c r="C18" s="84"/>
      <c r="D18" s="84"/>
      <c r="E18" s="84"/>
      <c r="F18" s="84"/>
      <c r="G18" s="84"/>
      <c r="H18" s="84"/>
      <c r="I18" s="84"/>
      <c r="J18" s="84"/>
      <c r="K18" s="84"/>
      <c r="L18" s="84"/>
      <c r="M18" s="84"/>
      <c r="N18" s="84"/>
      <c r="O18" s="84"/>
    </row>
    <row r="19" spans="1:20" s="48" customFormat="1">
      <c r="A19" s="53" t="s">
        <v>47</v>
      </c>
      <c r="B19" s="85" t="s">
        <v>141</v>
      </c>
      <c r="C19" s="13">
        <v>3050</v>
      </c>
      <c r="D19" s="13">
        <v>3050</v>
      </c>
      <c r="E19" s="13">
        <v>3050</v>
      </c>
      <c r="F19" s="13">
        <v>3050</v>
      </c>
      <c r="G19" s="13">
        <v>3050</v>
      </c>
      <c r="H19" s="13">
        <v>3050</v>
      </c>
      <c r="I19" s="13">
        <v>3050</v>
      </c>
      <c r="J19" s="13">
        <v>3050</v>
      </c>
      <c r="K19" s="13">
        <v>3050</v>
      </c>
      <c r="L19" s="13">
        <v>3050</v>
      </c>
      <c r="M19" s="13">
        <v>3050</v>
      </c>
      <c r="N19" s="13">
        <v>3050</v>
      </c>
      <c r="O19" s="54">
        <v>36600</v>
      </c>
    </row>
    <row r="20" spans="1:20" s="48" customFormat="1">
      <c r="A20" s="53" t="s">
        <v>48</v>
      </c>
      <c r="B20" s="85" t="s">
        <v>142</v>
      </c>
      <c r="C20" s="13">
        <v>550</v>
      </c>
      <c r="D20" s="13">
        <v>550</v>
      </c>
      <c r="E20" s="13">
        <v>550</v>
      </c>
      <c r="F20" s="13">
        <v>550</v>
      </c>
      <c r="G20" s="13">
        <v>550</v>
      </c>
      <c r="H20" s="13">
        <v>550</v>
      </c>
      <c r="I20" s="13">
        <v>550</v>
      </c>
      <c r="J20" s="13">
        <v>550</v>
      </c>
      <c r="K20" s="13">
        <v>550</v>
      </c>
      <c r="L20" s="13">
        <v>550</v>
      </c>
      <c r="M20" s="13">
        <v>550</v>
      </c>
      <c r="N20" s="13">
        <v>550</v>
      </c>
      <c r="O20" s="54">
        <v>6600</v>
      </c>
    </row>
    <row r="21" spans="1:20" s="48" customFormat="1">
      <c r="A21" s="53" t="s">
        <v>49</v>
      </c>
      <c r="B21" s="85" t="s">
        <v>143</v>
      </c>
      <c r="C21" s="13">
        <v>0</v>
      </c>
      <c r="D21" s="13">
        <v>0</v>
      </c>
      <c r="E21" s="13">
        <v>0</v>
      </c>
      <c r="F21" s="13">
        <v>0</v>
      </c>
      <c r="G21" s="13">
        <v>0</v>
      </c>
      <c r="H21" s="13">
        <v>0</v>
      </c>
      <c r="I21" s="13">
        <v>0</v>
      </c>
      <c r="J21" s="13">
        <v>0</v>
      </c>
      <c r="K21" s="13">
        <v>0</v>
      </c>
      <c r="L21" s="13">
        <v>0</v>
      </c>
      <c r="M21" s="13">
        <v>0</v>
      </c>
      <c r="N21" s="13">
        <v>0</v>
      </c>
      <c r="O21" s="54">
        <v>0</v>
      </c>
    </row>
    <row r="22" spans="1:20" s="48" customFormat="1">
      <c r="A22" s="53" t="s">
        <v>50</v>
      </c>
      <c r="B22" s="85" t="s">
        <v>144</v>
      </c>
      <c r="C22" s="13">
        <v>15</v>
      </c>
      <c r="D22" s="13">
        <v>15</v>
      </c>
      <c r="E22" s="13">
        <v>15</v>
      </c>
      <c r="F22" s="13">
        <v>15</v>
      </c>
      <c r="G22" s="13">
        <v>15</v>
      </c>
      <c r="H22" s="13">
        <v>15</v>
      </c>
      <c r="I22" s="13">
        <v>15</v>
      </c>
      <c r="J22" s="13">
        <v>15</v>
      </c>
      <c r="K22" s="13">
        <v>15</v>
      </c>
      <c r="L22" s="13">
        <v>15</v>
      </c>
      <c r="M22" s="13">
        <v>15</v>
      </c>
      <c r="N22" s="13">
        <v>15</v>
      </c>
      <c r="O22" s="54">
        <v>180</v>
      </c>
    </row>
    <row r="23" spans="1:20" s="48" customFormat="1">
      <c r="A23" s="50" t="s">
        <v>55</v>
      </c>
      <c r="B23" s="55"/>
      <c r="C23" s="56">
        <v>3615</v>
      </c>
      <c r="D23" s="56">
        <v>3615</v>
      </c>
      <c r="E23" s="56">
        <v>3615</v>
      </c>
      <c r="F23" s="56">
        <v>3615</v>
      </c>
      <c r="G23" s="56">
        <v>3615</v>
      </c>
      <c r="H23" s="56">
        <v>3615</v>
      </c>
      <c r="I23" s="56">
        <v>3615</v>
      </c>
      <c r="J23" s="56">
        <v>3615</v>
      </c>
      <c r="K23" s="56">
        <v>3615</v>
      </c>
      <c r="L23" s="56">
        <v>3615</v>
      </c>
      <c r="M23" s="56">
        <v>3615</v>
      </c>
      <c r="N23" s="56">
        <v>3615</v>
      </c>
      <c r="O23" s="56">
        <v>43380</v>
      </c>
      <c r="P23" s="55"/>
      <c r="Q23" s="55"/>
      <c r="S23" s="55"/>
      <c r="T23" s="55"/>
    </row>
    <row r="24" spans="1:20" s="48" customFormat="1">
      <c r="A24" s="50"/>
      <c r="B24" s="55"/>
      <c r="C24" s="54"/>
      <c r="D24" s="54"/>
      <c r="E24" s="54"/>
      <c r="F24" s="54"/>
      <c r="G24" s="54"/>
      <c r="H24" s="54"/>
      <c r="I24" s="54"/>
      <c r="J24" s="54"/>
      <c r="K24" s="54"/>
      <c r="L24" s="54"/>
      <c r="M24" s="54"/>
      <c r="N24" s="54"/>
      <c r="O24" s="54"/>
      <c r="P24" s="55"/>
      <c r="Q24" s="55"/>
      <c r="S24" s="55"/>
      <c r="T24" s="55"/>
    </row>
    <row r="25" spans="1:20">
      <c r="A25" s="7" t="s">
        <v>56</v>
      </c>
      <c r="B25" s="8"/>
      <c r="C25" s="13"/>
      <c r="D25" s="13"/>
      <c r="E25" s="13"/>
      <c r="F25" s="13"/>
      <c r="G25" s="13"/>
      <c r="H25" s="13"/>
      <c r="I25" s="13"/>
      <c r="J25" s="13"/>
      <c r="K25" s="13"/>
      <c r="L25" s="13"/>
      <c r="M25" s="13"/>
      <c r="N25" s="13"/>
      <c r="O25" s="13"/>
    </row>
    <row r="26" spans="1:20">
      <c r="A26" s="15" t="s">
        <v>57</v>
      </c>
      <c r="B26" s="5" t="s">
        <v>145</v>
      </c>
      <c r="C26" s="13">
        <v>2000</v>
      </c>
      <c r="D26" s="13">
        <v>2000</v>
      </c>
      <c r="E26" s="13">
        <v>2000</v>
      </c>
      <c r="F26" s="13">
        <v>2000</v>
      </c>
      <c r="G26" s="13">
        <v>2000</v>
      </c>
      <c r="H26" s="13">
        <v>2000</v>
      </c>
      <c r="I26" s="13">
        <v>2000</v>
      </c>
      <c r="J26" s="13">
        <v>2000</v>
      </c>
      <c r="K26" s="13">
        <v>2000</v>
      </c>
      <c r="L26" s="13">
        <v>2000</v>
      </c>
      <c r="M26" s="13">
        <v>2000</v>
      </c>
      <c r="N26" s="13">
        <v>2000</v>
      </c>
      <c r="O26" s="13">
        <v>24000</v>
      </c>
      <c r="Q26" s="13"/>
    </row>
    <row r="27" spans="1:20">
      <c r="A27" s="7" t="s">
        <v>58</v>
      </c>
      <c r="C27" s="27">
        <v>2000</v>
      </c>
      <c r="D27" s="27">
        <v>2000</v>
      </c>
      <c r="E27" s="27">
        <v>2000</v>
      </c>
      <c r="F27" s="27">
        <v>2000</v>
      </c>
      <c r="G27" s="27">
        <v>2000</v>
      </c>
      <c r="H27" s="27">
        <v>2000</v>
      </c>
      <c r="I27" s="27">
        <v>2000</v>
      </c>
      <c r="J27" s="27">
        <v>2000</v>
      </c>
      <c r="K27" s="27">
        <v>2000</v>
      </c>
      <c r="L27" s="27">
        <v>2000</v>
      </c>
      <c r="M27" s="27">
        <v>2000</v>
      </c>
      <c r="N27" s="27">
        <v>2000</v>
      </c>
      <c r="O27" s="27">
        <v>24000</v>
      </c>
    </row>
    <row r="28" spans="1:20">
      <c r="A28" s="15"/>
      <c r="C28" s="13"/>
      <c r="D28" s="13"/>
      <c r="E28" s="13"/>
      <c r="F28" s="13"/>
      <c r="G28" s="13"/>
      <c r="H28" s="13"/>
      <c r="I28" s="13"/>
      <c r="J28" s="13"/>
      <c r="K28" s="13"/>
      <c r="L28" s="13"/>
      <c r="M28" s="13"/>
      <c r="N28" s="13"/>
      <c r="O28" s="13"/>
    </row>
    <row r="29" spans="1:20">
      <c r="A29" s="7" t="s">
        <v>59</v>
      </c>
      <c r="B29" s="8"/>
      <c r="C29" s="13"/>
      <c r="D29" s="13"/>
      <c r="E29" s="13"/>
      <c r="F29" s="13"/>
      <c r="G29" s="13"/>
      <c r="H29" s="13"/>
      <c r="I29" s="13"/>
      <c r="J29" s="13"/>
      <c r="K29" s="13"/>
      <c r="L29" s="13"/>
      <c r="M29" s="13"/>
      <c r="N29" s="13"/>
      <c r="O29" s="13"/>
    </row>
    <row r="30" spans="1:20">
      <c r="A30" s="15" t="s">
        <v>60</v>
      </c>
      <c r="B30" s="5" t="s">
        <v>146</v>
      </c>
      <c r="C30" s="13">
        <v>0</v>
      </c>
      <c r="D30" s="13">
        <v>0</v>
      </c>
      <c r="E30" s="13">
        <v>0</v>
      </c>
      <c r="F30" s="13">
        <v>0</v>
      </c>
      <c r="G30" s="13">
        <v>0</v>
      </c>
      <c r="H30" s="13">
        <v>0</v>
      </c>
      <c r="I30" s="13">
        <v>0</v>
      </c>
      <c r="J30" s="13">
        <v>0</v>
      </c>
      <c r="K30" s="13">
        <v>0</v>
      </c>
      <c r="L30" s="13">
        <v>0</v>
      </c>
      <c r="M30" s="13">
        <v>0</v>
      </c>
      <c r="N30" s="13">
        <v>0</v>
      </c>
      <c r="O30" s="13">
        <v>0</v>
      </c>
      <c r="Q30" s="13"/>
    </row>
    <row r="31" spans="1:20">
      <c r="A31" s="7" t="s">
        <v>61</v>
      </c>
      <c r="C31" s="27">
        <v>0</v>
      </c>
      <c r="D31" s="27">
        <v>0</v>
      </c>
      <c r="E31" s="27">
        <v>0</v>
      </c>
      <c r="F31" s="27">
        <v>0</v>
      </c>
      <c r="G31" s="27">
        <v>0</v>
      </c>
      <c r="H31" s="27">
        <v>0</v>
      </c>
      <c r="I31" s="27">
        <v>0</v>
      </c>
      <c r="J31" s="27">
        <v>0</v>
      </c>
      <c r="K31" s="27">
        <v>0</v>
      </c>
      <c r="L31" s="27">
        <v>0</v>
      </c>
      <c r="M31" s="27">
        <v>0</v>
      </c>
      <c r="N31" s="27">
        <v>0</v>
      </c>
      <c r="O31" s="27">
        <v>0</v>
      </c>
    </row>
    <row r="32" spans="1:20">
      <c r="A32" s="15"/>
      <c r="C32" s="13"/>
      <c r="D32" s="13"/>
      <c r="E32" s="13"/>
      <c r="F32" s="13"/>
      <c r="G32" s="13"/>
      <c r="H32" s="13"/>
      <c r="I32" s="13"/>
      <c r="J32" s="13"/>
      <c r="K32" s="13"/>
      <c r="L32" s="13"/>
      <c r="M32" s="13"/>
      <c r="N32" s="13"/>
      <c r="O32" s="13"/>
    </row>
    <row r="33" spans="1:17">
      <c r="A33" s="39" t="s">
        <v>147</v>
      </c>
      <c r="C33" s="13"/>
      <c r="D33" s="13"/>
      <c r="E33" s="13"/>
      <c r="F33" s="13"/>
      <c r="G33" s="13"/>
      <c r="H33" s="13"/>
      <c r="I33" s="13"/>
      <c r="J33" s="13"/>
      <c r="K33" s="13"/>
      <c r="L33" s="13"/>
      <c r="M33" s="13"/>
      <c r="N33" s="13"/>
      <c r="O33" s="13"/>
    </row>
    <row r="34" spans="1:17">
      <c r="A34" s="15" t="s">
        <v>63</v>
      </c>
      <c r="B34" s="17" t="s">
        <v>308</v>
      </c>
      <c r="C34" s="13">
        <v>0</v>
      </c>
      <c r="D34" s="13">
        <v>0</v>
      </c>
      <c r="E34" s="13">
        <v>0</v>
      </c>
      <c r="F34" s="13">
        <v>0</v>
      </c>
      <c r="G34" s="13">
        <v>0</v>
      </c>
      <c r="H34" s="13">
        <v>0</v>
      </c>
      <c r="I34" s="13">
        <v>0</v>
      </c>
      <c r="J34" s="13">
        <v>0</v>
      </c>
      <c r="K34" s="13">
        <v>0</v>
      </c>
      <c r="L34" s="13">
        <v>0</v>
      </c>
      <c r="M34" s="13">
        <v>0</v>
      </c>
      <c r="N34" s="13">
        <v>0</v>
      </c>
      <c r="O34" s="13">
        <v>0</v>
      </c>
      <c r="Q34" s="13"/>
    </row>
    <row r="35" spans="1:17">
      <c r="A35" s="15" t="s">
        <v>64</v>
      </c>
      <c r="B35" s="17" t="s">
        <v>149</v>
      </c>
      <c r="C35" s="13">
        <v>0</v>
      </c>
      <c r="D35" s="13">
        <v>0</v>
      </c>
      <c r="E35" s="13">
        <v>0</v>
      </c>
      <c r="F35" s="13">
        <v>0</v>
      </c>
      <c r="G35" s="13">
        <v>0</v>
      </c>
      <c r="H35" s="13">
        <v>0</v>
      </c>
      <c r="I35" s="13">
        <v>0</v>
      </c>
      <c r="J35" s="13">
        <v>0</v>
      </c>
      <c r="K35" s="13">
        <v>0</v>
      </c>
      <c r="L35" s="13">
        <v>0</v>
      </c>
      <c r="M35" s="13">
        <v>0</v>
      </c>
      <c r="N35" s="13">
        <v>0</v>
      </c>
      <c r="O35" s="13">
        <v>0</v>
      </c>
      <c r="Q35" s="13"/>
    </row>
    <row r="36" spans="1:17">
      <c r="A36" s="15" t="s">
        <v>65</v>
      </c>
      <c r="B36" s="17" t="s">
        <v>150</v>
      </c>
      <c r="C36" s="13">
        <v>0</v>
      </c>
      <c r="D36" s="13">
        <v>0</v>
      </c>
      <c r="E36" s="13">
        <v>0</v>
      </c>
      <c r="F36" s="13">
        <v>0</v>
      </c>
      <c r="G36" s="13">
        <v>0</v>
      </c>
      <c r="H36" s="13">
        <v>0</v>
      </c>
      <c r="I36" s="13">
        <v>0</v>
      </c>
      <c r="J36" s="13">
        <v>0</v>
      </c>
      <c r="K36" s="13">
        <v>0</v>
      </c>
      <c r="L36" s="13">
        <v>0</v>
      </c>
      <c r="M36" s="13">
        <v>0</v>
      </c>
      <c r="N36" s="13">
        <v>0</v>
      </c>
      <c r="O36" s="13">
        <v>0</v>
      </c>
      <c r="Q36" s="13"/>
    </row>
    <row r="37" spans="1:17">
      <c r="A37" s="39" t="s">
        <v>66</v>
      </c>
      <c r="C37" s="27">
        <v>0</v>
      </c>
      <c r="D37" s="27">
        <v>0</v>
      </c>
      <c r="E37" s="27">
        <v>0</v>
      </c>
      <c r="F37" s="27">
        <v>0</v>
      </c>
      <c r="G37" s="27">
        <v>0</v>
      </c>
      <c r="H37" s="27">
        <v>0</v>
      </c>
      <c r="I37" s="27">
        <v>0</v>
      </c>
      <c r="J37" s="27">
        <v>0</v>
      </c>
      <c r="K37" s="27">
        <v>0</v>
      </c>
      <c r="L37" s="27">
        <v>0</v>
      </c>
      <c r="M37" s="27">
        <v>0</v>
      </c>
      <c r="N37" s="27">
        <v>0</v>
      </c>
      <c r="O37" s="27">
        <v>0</v>
      </c>
    </row>
    <row r="38" spans="1:17">
      <c r="A38" s="15"/>
      <c r="C38" s="13"/>
      <c r="D38" s="13"/>
      <c r="E38" s="13"/>
      <c r="F38" s="13"/>
      <c r="G38" s="13"/>
      <c r="H38" s="13"/>
      <c r="I38" s="13"/>
      <c r="J38" s="13"/>
      <c r="K38" s="13"/>
      <c r="L38" s="13"/>
      <c r="M38" s="13"/>
      <c r="N38" s="13"/>
      <c r="O38" s="13"/>
    </row>
    <row r="39" spans="1:17">
      <c r="A39" s="16" t="s">
        <v>67</v>
      </c>
      <c r="C39" s="27">
        <v>12380</v>
      </c>
      <c r="D39" s="27">
        <v>12380</v>
      </c>
      <c r="E39" s="27">
        <v>12380</v>
      </c>
      <c r="F39" s="27">
        <v>12380</v>
      </c>
      <c r="G39" s="27">
        <v>12380</v>
      </c>
      <c r="H39" s="27">
        <v>12380</v>
      </c>
      <c r="I39" s="27">
        <v>12380</v>
      </c>
      <c r="J39" s="27">
        <v>12380</v>
      </c>
      <c r="K39" s="27">
        <v>12380</v>
      </c>
      <c r="L39" s="27">
        <v>12380</v>
      </c>
      <c r="M39" s="27">
        <v>12380</v>
      </c>
      <c r="N39" s="27">
        <v>12380</v>
      </c>
      <c r="O39" s="27">
        <v>148560</v>
      </c>
    </row>
    <row r="40" spans="1:17">
      <c r="A40" s="15"/>
      <c r="C40" s="13"/>
      <c r="D40" s="13"/>
      <c r="E40" s="13"/>
      <c r="F40" s="13"/>
      <c r="G40" s="13"/>
      <c r="H40" s="13"/>
      <c r="I40" s="13"/>
      <c r="J40" s="13"/>
      <c r="K40" s="13"/>
      <c r="L40" s="13"/>
      <c r="M40" s="13"/>
      <c r="N40" s="13"/>
      <c r="O40" s="13"/>
    </row>
    <row r="41" spans="1:17">
      <c r="A41" s="40" t="s">
        <v>68</v>
      </c>
      <c r="C41" s="13"/>
      <c r="D41" s="13"/>
      <c r="E41" s="13"/>
      <c r="F41" s="13"/>
      <c r="G41" s="13"/>
      <c r="H41" s="13"/>
      <c r="I41" s="13"/>
      <c r="J41" s="13"/>
      <c r="K41" s="13"/>
      <c r="L41" s="13"/>
      <c r="M41" s="13"/>
      <c r="N41" s="13"/>
      <c r="O41" s="13"/>
    </row>
    <row r="42" spans="1:17">
      <c r="A42" s="15" t="s">
        <v>69</v>
      </c>
      <c r="B42" s="5" t="s">
        <v>151</v>
      </c>
      <c r="C42" s="13">
        <v>1500</v>
      </c>
      <c r="D42" s="13">
        <v>1500</v>
      </c>
      <c r="E42" s="13">
        <v>1500</v>
      </c>
      <c r="F42" s="13">
        <v>1500</v>
      </c>
      <c r="G42" s="13">
        <v>1500</v>
      </c>
      <c r="H42" s="13">
        <v>1500</v>
      </c>
      <c r="I42" s="13">
        <v>1500</v>
      </c>
      <c r="J42" s="13">
        <v>1500</v>
      </c>
      <c r="K42" s="13">
        <v>1500</v>
      </c>
      <c r="L42" s="13">
        <v>1500</v>
      </c>
      <c r="M42" s="13">
        <v>1500</v>
      </c>
      <c r="N42" s="13">
        <v>1500</v>
      </c>
      <c r="O42" s="13">
        <v>18000</v>
      </c>
      <c r="Q42" s="13"/>
    </row>
    <row r="43" spans="1:17">
      <c r="A43" s="16" t="s">
        <v>70</v>
      </c>
      <c r="C43" s="27">
        <v>1500</v>
      </c>
      <c r="D43" s="27">
        <v>1500</v>
      </c>
      <c r="E43" s="27">
        <v>1500</v>
      </c>
      <c r="F43" s="27">
        <v>1500</v>
      </c>
      <c r="G43" s="27">
        <v>1500</v>
      </c>
      <c r="H43" s="27">
        <v>1500</v>
      </c>
      <c r="I43" s="27">
        <v>1500</v>
      </c>
      <c r="J43" s="27">
        <v>1500</v>
      </c>
      <c r="K43" s="27">
        <v>1500</v>
      </c>
      <c r="L43" s="27">
        <v>1500</v>
      </c>
      <c r="M43" s="27">
        <v>1500</v>
      </c>
      <c r="N43" s="27">
        <v>1500</v>
      </c>
      <c r="O43" s="27">
        <v>18000</v>
      </c>
    </row>
    <row r="44" spans="1:17">
      <c r="A44" s="15"/>
      <c r="C44" s="13"/>
      <c r="D44" s="13"/>
      <c r="E44" s="13"/>
      <c r="F44" s="13"/>
      <c r="G44" s="13"/>
      <c r="H44" s="13"/>
      <c r="I44" s="13"/>
      <c r="J44" s="13"/>
      <c r="K44" s="13"/>
      <c r="L44" s="13"/>
      <c r="M44" s="13"/>
      <c r="N44" s="13"/>
      <c r="O44" s="13"/>
    </row>
    <row r="45" spans="1:17">
      <c r="A45" s="40" t="s">
        <v>71</v>
      </c>
      <c r="C45" s="13"/>
      <c r="D45" s="13"/>
      <c r="E45" s="13"/>
      <c r="F45" s="13"/>
      <c r="G45" s="13"/>
      <c r="H45" s="13"/>
      <c r="I45" s="13"/>
      <c r="J45" s="13"/>
      <c r="K45" s="13"/>
      <c r="L45" s="13"/>
      <c r="M45" s="13"/>
      <c r="N45" s="13"/>
      <c r="O45" s="13"/>
    </row>
    <row r="46" spans="1:17">
      <c r="A46" s="15" t="s">
        <v>72</v>
      </c>
      <c r="B46" s="17" t="s">
        <v>152</v>
      </c>
      <c r="C46" s="13">
        <v>300</v>
      </c>
      <c r="D46" s="13">
        <v>300</v>
      </c>
      <c r="E46" s="13">
        <v>300</v>
      </c>
      <c r="F46" s="13">
        <v>300</v>
      </c>
      <c r="G46" s="13">
        <v>300</v>
      </c>
      <c r="H46" s="13">
        <v>300</v>
      </c>
      <c r="I46" s="13">
        <v>300</v>
      </c>
      <c r="J46" s="13">
        <v>300</v>
      </c>
      <c r="K46" s="13">
        <v>300</v>
      </c>
      <c r="L46" s="13">
        <v>300</v>
      </c>
      <c r="M46" s="13">
        <v>300</v>
      </c>
      <c r="N46" s="13">
        <v>300</v>
      </c>
      <c r="O46" s="13">
        <v>3600</v>
      </c>
      <c r="Q46" s="13"/>
    </row>
    <row r="47" spans="1:17">
      <c r="A47" s="15" t="s">
        <v>73</v>
      </c>
      <c r="B47" s="17" t="s">
        <v>153</v>
      </c>
      <c r="C47" s="13">
        <v>0</v>
      </c>
      <c r="D47" s="13">
        <v>0</v>
      </c>
      <c r="E47" s="13">
        <v>0</v>
      </c>
      <c r="F47" s="13">
        <v>0</v>
      </c>
      <c r="G47" s="13">
        <v>0</v>
      </c>
      <c r="H47" s="13">
        <v>0</v>
      </c>
      <c r="I47" s="13">
        <v>0</v>
      </c>
      <c r="J47" s="13">
        <v>0</v>
      </c>
      <c r="K47" s="13">
        <v>0</v>
      </c>
      <c r="L47" s="13">
        <v>0</v>
      </c>
      <c r="M47" s="13">
        <v>0</v>
      </c>
      <c r="N47" s="13">
        <v>0</v>
      </c>
      <c r="O47" s="13">
        <v>0</v>
      </c>
      <c r="Q47" s="13"/>
    </row>
    <row r="48" spans="1:17">
      <c r="A48" s="16" t="s">
        <v>74</v>
      </c>
      <c r="C48" s="27">
        <v>300</v>
      </c>
      <c r="D48" s="27">
        <v>300</v>
      </c>
      <c r="E48" s="27">
        <v>300</v>
      </c>
      <c r="F48" s="27">
        <v>300</v>
      </c>
      <c r="G48" s="27">
        <v>300</v>
      </c>
      <c r="H48" s="27">
        <v>300</v>
      </c>
      <c r="I48" s="27">
        <v>300</v>
      </c>
      <c r="J48" s="27">
        <v>300</v>
      </c>
      <c r="K48" s="27">
        <v>300</v>
      </c>
      <c r="L48" s="27">
        <v>300</v>
      </c>
      <c r="M48" s="27">
        <v>300</v>
      </c>
      <c r="N48" s="27">
        <v>300</v>
      </c>
      <c r="O48" s="27">
        <v>3600</v>
      </c>
    </row>
    <row r="49" spans="1:17">
      <c r="C49" s="13"/>
      <c r="D49" s="13"/>
      <c r="E49" s="13"/>
      <c r="F49" s="13"/>
      <c r="G49" s="13"/>
      <c r="H49" s="13"/>
      <c r="I49" s="13"/>
      <c r="J49" s="13"/>
      <c r="K49" s="13"/>
      <c r="L49" s="13"/>
      <c r="M49" s="13"/>
      <c r="N49" s="13"/>
      <c r="O49" s="13"/>
    </row>
    <row r="50" spans="1:17" ht="14.65" thickBot="1">
      <c r="A50" s="7" t="s">
        <v>75</v>
      </c>
      <c r="C50" s="28">
        <v>14180</v>
      </c>
      <c r="D50" s="28">
        <v>14180</v>
      </c>
      <c r="E50" s="28">
        <v>14180</v>
      </c>
      <c r="F50" s="28">
        <v>14180</v>
      </c>
      <c r="G50" s="28">
        <v>14180</v>
      </c>
      <c r="H50" s="28">
        <v>14180</v>
      </c>
      <c r="I50" s="28">
        <v>14180</v>
      </c>
      <c r="J50" s="28">
        <v>14180</v>
      </c>
      <c r="K50" s="28">
        <v>14180</v>
      </c>
      <c r="L50" s="28">
        <v>14180</v>
      </c>
      <c r="M50" s="28">
        <v>14180</v>
      </c>
      <c r="N50" s="28">
        <v>14180</v>
      </c>
      <c r="O50" s="28">
        <v>170160</v>
      </c>
    </row>
    <row r="51" spans="1:17">
      <c r="C51" s="13"/>
      <c r="D51" s="13"/>
      <c r="E51" s="13"/>
      <c r="F51" s="13"/>
      <c r="G51" s="13"/>
      <c r="H51" s="13"/>
      <c r="I51" s="13"/>
      <c r="J51" s="13"/>
      <c r="K51" s="13"/>
      <c r="L51" s="13"/>
      <c r="M51" s="13"/>
      <c r="N51" s="13"/>
      <c r="O51" s="13"/>
    </row>
    <row r="52" spans="1:17">
      <c r="A52" s="1" t="s">
        <v>76</v>
      </c>
      <c r="C52" s="13"/>
      <c r="D52" s="13"/>
      <c r="E52" s="13"/>
      <c r="F52" s="13"/>
      <c r="G52" s="13"/>
      <c r="H52" s="13"/>
      <c r="I52" s="13"/>
      <c r="J52" s="13"/>
      <c r="K52" s="13"/>
      <c r="L52" s="13"/>
      <c r="M52" s="13"/>
      <c r="N52" s="13"/>
      <c r="O52" s="13"/>
    </row>
    <row r="53" spans="1:17">
      <c r="A53" s="15" t="s">
        <v>77</v>
      </c>
      <c r="B53" s="5" t="s">
        <v>154</v>
      </c>
      <c r="C53" s="13">
        <v>170</v>
      </c>
      <c r="D53" s="13">
        <v>170</v>
      </c>
      <c r="E53" s="13">
        <v>170</v>
      </c>
      <c r="F53" s="13">
        <v>170</v>
      </c>
      <c r="G53" s="13">
        <v>170</v>
      </c>
      <c r="H53" s="13">
        <v>170</v>
      </c>
      <c r="I53" s="13">
        <v>170</v>
      </c>
      <c r="J53" s="13">
        <v>170</v>
      </c>
      <c r="K53" s="13">
        <v>170</v>
      </c>
      <c r="L53" s="13">
        <v>170</v>
      </c>
      <c r="M53" s="13">
        <v>170</v>
      </c>
      <c r="N53" s="13">
        <v>170</v>
      </c>
      <c r="O53" s="13">
        <v>2040</v>
      </c>
      <c r="Q53" s="13"/>
    </row>
    <row r="54" spans="1:17">
      <c r="A54" s="15" t="s">
        <v>378</v>
      </c>
      <c r="B54" s="17" t="s">
        <v>155</v>
      </c>
      <c r="C54" s="13">
        <v>0</v>
      </c>
      <c r="D54" s="13">
        <v>0</v>
      </c>
      <c r="E54" s="13">
        <v>0</v>
      </c>
      <c r="F54" s="13">
        <v>0</v>
      </c>
      <c r="G54" s="13">
        <v>0</v>
      </c>
      <c r="H54" s="13">
        <v>0</v>
      </c>
      <c r="I54" s="13">
        <v>0</v>
      </c>
      <c r="J54" s="13">
        <v>0</v>
      </c>
      <c r="K54" s="13">
        <v>0</v>
      </c>
      <c r="L54" s="13">
        <v>0</v>
      </c>
      <c r="M54" s="13">
        <v>0</v>
      </c>
      <c r="N54" s="13">
        <v>0</v>
      </c>
      <c r="O54" s="13">
        <v>0</v>
      </c>
      <c r="Q54" s="13"/>
    </row>
    <row r="55" spans="1:17">
      <c r="A55" s="15" t="s">
        <v>79</v>
      </c>
      <c r="B55" s="17" t="s">
        <v>156</v>
      </c>
      <c r="C55" s="13">
        <v>100</v>
      </c>
      <c r="D55" s="13">
        <v>100</v>
      </c>
      <c r="E55" s="13">
        <v>100</v>
      </c>
      <c r="F55" s="13">
        <v>100</v>
      </c>
      <c r="G55" s="13">
        <v>100</v>
      </c>
      <c r="H55" s="13">
        <v>100</v>
      </c>
      <c r="I55" s="13">
        <v>100</v>
      </c>
      <c r="J55" s="13">
        <v>100</v>
      </c>
      <c r="K55" s="13">
        <v>100</v>
      </c>
      <c r="L55" s="13">
        <v>100</v>
      </c>
      <c r="M55" s="13">
        <v>100</v>
      </c>
      <c r="N55" s="13">
        <v>100</v>
      </c>
      <c r="O55" s="13">
        <v>1200</v>
      </c>
      <c r="Q55" s="13"/>
    </row>
    <row r="56" spans="1:17">
      <c r="A56" s="15" t="s">
        <v>379</v>
      </c>
      <c r="B56" s="17" t="s">
        <v>157</v>
      </c>
      <c r="C56" s="13">
        <v>0</v>
      </c>
      <c r="D56" s="13">
        <v>0</v>
      </c>
      <c r="E56" s="13">
        <v>0</v>
      </c>
      <c r="F56" s="13">
        <v>0</v>
      </c>
      <c r="G56" s="13">
        <v>0</v>
      </c>
      <c r="H56" s="13">
        <v>0</v>
      </c>
      <c r="I56" s="13">
        <v>0</v>
      </c>
      <c r="J56" s="13">
        <v>0</v>
      </c>
      <c r="K56" s="13">
        <v>0</v>
      </c>
      <c r="L56" s="13">
        <v>0</v>
      </c>
      <c r="M56" s="13">
        <v>0</v>
      </c>
      <c r="N56" s="13">
        <v>0</v>
      </c>
      <c r="O56" s="13">
        <v>0</v>
      </c>
      <c r="Q56" s="13"/>
    </row>
    <row r="57" spans="1:17">
      <c r="A57" s="15" t="s">
        <v>81</v>
      </c>
      <c r="B57" s="17" t="s">
        <v>324</v>
      </c>
      <c r="C57" s="13">
        <v>300</v>
      </c>
      <c r="D57" s="13">
        <v>300</v>
      </c>
      <c r="E57" s="13">
        <v>300</v>
      </c>
      <c r="F57" s="13">
        <v>300</v>
      </c>
      <c r="G57" s="13">
        <v>300</v>
      </c>
      <c r="H57" s="13">
        <v>300</v>
      </c>
      <c r="I57" s="13">
        <v>300</v>
      </c>
      <c r="J57" s="13">
        <v>300</v>
      </c>
      <c r="K57" s="13">
        <v>300</v>
      </c>
      <c r="L57" s="13">
        <v>300</v>
      </c>
      <c r="M57" s="13">
        <v>300</v>
      </c>
      <c r="N57" s="13">
        <v>300</v>
      </c>
      <c r="O57" s="13">
        <v>3600</v>
      </c>
      <c r="Q57" s="13"/>
    </row>
    <row r="58" spans="1:17" ht="14.65" thickBot="1">
      <c r="A58" s="7" t="s">
        <v>82</v>
      </c>
      <c r="B58" s="8"/>
      <c r="C58" s="29">
        <v>570</v>
      </c>
      <c r="D58" s="29">
        <v>570</v>
      </c>
      <c r="E58" s="29">
        <v>570</v>
      </c>
      <c r="F58" s="29">
        <v>570</v>
      </c>
      <c r="G58" s="29">
        <v>570</v>
      </c>
      <c r="H58" s="29">
        <v>570</v>
      </c>
      <c r="I58" s="29">
        <v>570</v>
      </c>
      <c r="J58" s="29">
        <v>570</v>
      </c>
      <c r="K58" s="29">
        <v>570</v>
      </c>
      <c r="L58" s="29">
        <v>570</v>
      </c>
      <c r="M58" s="29">
        <v>570</v>
      </c>
      <c r="N58" s="29">
        <v>570</v>
      </c>
      <c r="O58" s="29">
        <v>6840</v>
      </c>
    </row>
    <row r="59" spans="1:17">
      <c r="C59" s="13"/>
      <c r="D59" s="13"/>
      <c r="E59" s="13"/>
      <c r="F59" s="13"/>
      <c r="G59" s="13"/>
      <c r="H59" s="13"/>
      <c r="I59" s="13"/>
      <c r="J59" s="13"/>
      <c r="K59" s="13"/>
      <c r="L59" s="13"/>
      <c r="M59" s="13"/>
      <c r="N59" s="13"/>
      <c r="O59" s="13"/>
    </row>
    <row r="60" spans="1:17" ht="14.65" thickBot="1">
      <c r="A60" s="7" t="s">
        <v>83</v>
      </c>
      <c r="B60" s="8"/>
      <c r="C60" s="29">
        <v>14750</v>
      </c>
      <c r="D60" s="29">
        <v>14750</v>
      </c>
      <c r="E60" s="29">
        <v>14750</v>
      </c>
      <c r="F60" s="29">
        <v>14750</v>
      </c>
      <c r="G60" s="29">
        <v>14750</v>
      </c>
      <c r="H60" s="29">
        <v>14750</v>
      </c>
      <c r="I60" s="29">
        <v>14750</v>
      </c>
      <c r="J60" s="29">
        <v>14750</v>
      </c>
      <c r="K60" s="29">
        <v>14750</v>
      </c>
      <c r="L60" s="29">
        <v>14750</v>
      </c>
      <c r="M60" s="29">
        <v>14750</v>
      </c>
      <c r="N60" s="29">
        <v>14750</v>
      </c>
      <c r="O60" s="29">
        <v>177000</v>
      </c>
    </row>
    <row r="62" spans="1:17" s="41" customFormat="1" ht="14.65" thickBot="1">
      <c r="A62" s="41" t="s">
        <v>84</v>
      </c>
      <c r="B62" s="77"/>
      <c r="C62" s="42">
        <v>2866</v>
      </c>
      <c r="D62" s="42">
        <v>-5470.8000000000029</v>
      </c>
      <c r="E62" s="42">
        <v>-5710.8000000000029</v>
      </c>
      <c r="F62" s="42">
        <v>-5990.8000000000029</v>
      </c>
      <c r="G62" s="42">
        <v>-3590.8000000000029</v>
      </c>
      <c r="H62" s="42">
        <v>-3830.8000000000029</v>
      </c>
      <c r="I62" s="42">
        <v>-3590.8000000000029</v>
      </c>
      <c r="J62" s="42">
        <v>-3476.8000000000029</v>
      </c>
      <c r="K62" s="42">
        <v>-2238.8000000000029</v>
      </c>
      <c r="L62" s="42">
        <v>-1998.8000000000029</v>
      </c>
      <c r="M62" s="42">
        <v>-2498.8000000000029</v>
      </c>
      <c r="N62" s="42">
        <v>3998</v>
      </c>
      <c r="O62" s="42">
        <v>-31534</v>
      </c>
    </row>
    <row r="63" spans="1:17">
      <c r="C63" s="13"/>
      <c r="D63" s="13"/>
      <c r="E63" s="13"/>
      <c r="F63" s="13"/>
      <c r="G63" s="13"/>
      <c r="H63" s="13"/>
      <c r="I63" s="13"/>
      <c r="J63" s="13"/>
      <c r="K63" s="13"/>
      <c r="L63" s="13"/>
      <c r="M63" s="13"/>
      <c r="N63" s="13"/>
      <c r="O63" s="13"/>
    </row>
    <row r="64" spans="1:17">
      <c r="A64" t="s">
        <v>380</v>
      </c>
    </row>
    <row r="65" spans="1:1">
      <c r="A65" t="s">
        <v>257</v>
      </c>
    </row>
    <row r="66" spans="1:1">
      <c r="A66" t="s">
        <v>381</v>
      </c>
    </row>
    <row r="67" spans="1:1">
      <c r="A67" t="s">
        <v>382</v>
      </c>
    </row>
  </sheetData>
  <pageMargins left="0.70866141732283472" right="0.70866141732283472" top="0.74803149606299213" bottom="0.74803149606299213" header="0.31496062992125984" footer="0.31496062992125984"/>
  <pageSetup paperSize="9" scale="5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Q63"/>
  <sheetViews>
    <sheetView topLeftCell="A39" zoomScaleNormal="100" workbookViewId="0">
      <selection activeCell="Q56" sqref="Q56"/>
    </sheetView>
  </sheetViews>
  <sheetFormatPr defaultRowHeight="14.25"/>
  <cols>
    <col min="1" max="1" width="34.42578125" bestFit="1" customWidth="1"/>
    <col min="2" max="2" width="13" style="5" bestFit="1" customWidth="1"/>
    <col min="3" max="4" width="7.85546875" style="13" bestFit="1" customWidth="1"/>
    <col min="5" max="8" width="7.5703125" style="13" bestFit="1" customWidth="1"/>
    <col min="9" max="12" width="8" style="13" bestFit="1" customWidth="1"/>
    <col min="13" max="13" width="7.5703125" style="13" bestFit="1" customWidth="1"/>
    <col min="14" max="14" width="7.85546875" style="13" bestFit="1" customWidth="1"/>
    <col min="15" max="15" width="8.5703125" style="13" bestFit="1" customWidth="1"/>
    <col min="16" max="16" width="9.5703125" bestFit="1" customWidth="1"/>
    <col min="17" max="17" width="16.5703125" customWidth="1"/>
  </cols>
  <sheetData>
    <row r="1" spans="1:15">
      <c r="A1" s="1" t="s">
        <v>0</v>
      </c>
      <c r="B1" s="2"/>
    </row>
    <row r="2" spans="1:15">
      <c r="A2" s="1" t="s">
        <v>10</v>
      </c>
      <c r="B2" s="2"/>
      <c r="C2" s="78">
        <v>12</v>
      </c>
      <c r="D2" s="78">
        <v>12</v>
      </c>
      <c r="E2" s="78">
        <v>12</v>
      </c>
      <c r="F2" s="78">
        <v>12</v>
      </c>
      <c r="G2" s="78">
        <v>12</v>
      </c>
      <c r="H2" s="78">
        <v>12</v>
      </c>
      <c r="I2" s="78">
        <v>12</v>
      </c>
      <c r="J2" s="78">
        <v>12</v>
      </c>
      <c r="K2" s="78">
        <v>12</v>
      </c>
      <c r="L2" s="78">
        <v>12</v>
      </c>
      <c r="M2" s="78">
        <v>12</v>
      </c>
      <c r="N2" s="78">
        <v>12</v>
      </c>
    </row>
    <row r="3" spans="1:15">
      <c r="A3" s="1" t="str">
        <f>'Income - OverallBUD'!A3</f>
        <v>Budget 2021</v>
      </c>
      <c r="B3" s="2"/>
      <c r="C3" s="78">
        <v>1</v>
      </c>
      <c r="D3" s="78">
        <v>2</v>
      </c>
      <c r="E3" s="78">
        <v>3</v>
      </c>
      <c r="F3" s="78">
        <v>4</v>
      </c>
      <c r="G3" s="78">
        <v>5</v>
      </c>
      <c r="H3" s="78">
        <v>6</v>
      </c>
      <c r="I3" s="78">
        <v>7</v>
      </c>
      <c r="J3" s="78">
        <v>8</v>
      </c>
      <c r="K3" s="78">
        <v>9</v>
      </c>
      <c r="L3" s="78">
        <v>10</v>
      </c>
      <c r="M3" s="78">
        <v>11</v>
      </c>
      <c r="N3" s="78">
        <v>12</v>
      </c>
    </row>
    <row r="4" spans="1:15">
      <c r="A4" s="1" t="s">
        <v>86</v>
      </c>
      <c r="C4" s="78">
        <f>IF('Expend - Overall'!$Y$2&gt;='Expend - OverallBUD'!C3,'Expend - Overall'!$Y$2,0)</f>
        <v>5</v>
      </c>
      <c r="D4" s="78">
        <f>IF('Expend - Overall'!$Y$2&gt;='Expend - OverallBUD'!D3,'Expend - Overall'!$Y$2,0)</f>
        <v>5</v>
      </c>
      <c r="E4" s="78">
        <f>IF('Expend - Overall'!$Y$2&gt;='Expend - OverallBUD'!E3,'Expend - Overall'!$Y$2,0)</f>
        <v>5</v>
      </c>
      <c r="F4" s="78">
        <f>IF('Expend - Overall'!$Y$2&gt;='Expend - OverallBUD'!F3,'Expend - Overall'!$Y$2,0)</f>
        <v>5</v>
      </c>
      <c r="G4" s="78">
        <f>IF('Expend - Overall'!$Y$2&gt;='Expend - OverallBUD'!G3,'Expend - Overall'!$Y$2,0)</f>
        <v>5</v>
      </c>
      <c r="H4" s="78">
        <f>IF('Expend - Overall'!$Y$2&gt;='Expend - OverallBUD'!H3,'Expend - Overall'!$Y$2,0)</f>
        <v>0</v>
      </c>
      <c r="I4" s="78">
        <f>IF('Expend - Overall'!$Y$2&gt;='Expend - OverallBUD'!I3,'Expend - Overall'!$Y$2,0)</f>
        <v>0</v>
      </c>
      <c r="J4" s="78">
        <f>IF('Expend - Overall'!$Y$2&gt;='Expend - OverallBUD'!J3,'Expend - Overall'!$Y$2,0)</f>
        <v>0</v>
      </c>
      <c r="K4" s="78">
        <f>IF('Expend - Overall'!$Y$2&gt;='Expend - OverallBUD'!K3,'Expend - Overall'!$Y$2,0)</f>
        <v>0</v>
      </c>
      <c r="L4" s="78">
        <f>IF('Expend - Overall'!$Y$2&gt;='Expend - OverallBUD'!L3,'Expend - Overall'!$Y$2,0)</f>
        <v>0</v>
      </c>
      <c r="M4" s="78">
        <f>IF('Expend - Overall'!$Y$2&gt;='Expend - OverallBUD'!M3,'Expend - Overall'!$Y$2,0)</f>
        <v>0</v>
      </c>
      <c r="N4" s="78">
        <f>IF('Expend - Overall'!$Y$2&gt;='Expend - OverallBUD'!N3,'Expend - Overall'!$Y$2,0)</f>
        <v>0</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C8" s="13">
        <v>0</v>
      </c>
      <c r="D8" s="13">
        <v>0</v>
      </c>
      <c r="E8" s="13">
        <v>0</v>
      </c>
      <c r="F8" s="13">
        <v>0</v>
      </c>
      <c r="G8" s="13">
        <v>0</v>
      </c>
      <c r="H8" s="13">
        <v>0</v>
      </c>
      <c r="I8" s="13">
        <v>0</v>
      </c>
      <c r="J8" s="13">
        <v>0</v>
      </c>
      <c r="K8" s="13">
        <v>0</v>
      </c>
      <c r="L8" s="13">
        <v>0</v>
      </c>
      <c r="M8" s="13">
        <v>0</v>
      </c>
      <c r="N8" s="13">
        <v>0</v>
      </c>
      <c r="O8" s="13">
        <v>0</v>
      </c>
    </row>
    <row r="9" spans="1:15">
      <c r="A9" s="18" t="s">
        <v>89</v>
      </c>
      <c r="B9" s="8"/>
      <c r="C9" s="13">
        <v>0</v>
      </c>
      <c r="D9" s="13">
        <v>0</v>
      </c>
      <c r="E9" s="13">
        <v>0</v>
      </c>
      <c r="F9" s="13">
        <v>0</v>
      </c>
      <c r="G9" s="13">
        <v>0</v>
      </c>
      <c r="H9" s="13">
        <v>0</v>
      </c>
      <c r="I9" s="13">
        <v>0</v>
      </c>
      <c r="J9" s="13">
        <v>0</v>
      </c>
      <c r="K9" s="13">
        <v>0</v>
      </c>
      <c r="L9" s="13">
        <v>0</v>
      </c>
      <c r="M9" s="13">
        <v>0</v>
      </c>
      <c r="N9" s="13">
        <v>0</v>
      </c>
      <c r="O9" s="13">
        <v>0</v>
      </c>
    </row>
    <row r="10" spans="1:15" ht="14.65" thickBot="1">
      <c r="A10" s="7" t="s">
        <v>90</v>
      </c>
      <c r="B10" s="8"/>
      <c r="C10" s="28">
        <v>0</v>
      </c>
      <c r="D10" s="28">
        <v>0</v>
      </c>
      <c r="E10" s="28">
        <v>0</v>
      </c>
      <c r="F10" s="28">
        <v>0</v>
      </c>
      <c r="G10" s="28">
        <v>0</v>
      </c>
      <c r="H10" s="28">
        <v>0</v>
      </c>
      <c r="I10" s="28">
        <v>0</v>
      </c>
      <c r="J10" s="28">
        <v>0</v>
      </c>
      <c r="K10" s="28">
        <v>0</v>
      </c>
      <c r="L10" s="28">
        <v>0</v>
      </c>
      <c r="M10" s="28">
        <v>0</v>
      </c>
      <c r="N10" s="28">
        <v>0</v>
      </c>
      <c r="O10" s="28">
        <v>0</v>
      </c>
    </row>
    <row r="11" spans="1:15">
      <c r="A11" s="7"/>
      <c r="B11" s="8"/>
    </row>
    <row r="12" spans="1:15">
      <c r="A12" s="1" t="s">
        <v>91</v>
      </c>
      <c r="B12" s="8"/>
    </row>
    <row r="13" spans="1:15">
      <c r="A13" s="15" t="s">
        <v>92</v>
      </c>
      <c r="B13" s="5" t="s">
        <v>163</v>
      </c>
      <c r="C13" s="13">
        <v>0</v>
      </c>
      <c r="D13" s="13">
        <v>6400.1</v>
      </c>
      <c r="E13" s="13">
        <v>6400.1</v>
      </c>
      <c r="F13" s="13">
        <v>6400.1</v>
      </c>
      <c r="G13" s="13">
        <v>6400.1</v>
      </c>
      <c r="H13" s="13">
        <v>6400.1</v>
      </c>
      <c r="I13" s="13">
        <v>6400.1</v>
      </c>
      <c r="J13" s="13">
        <v>6400.1</v>
      </c>
      <c r="K13" s="13">
        <v>6400.1</v>
      </c>
      <c r="L13" s="13">
        <v>6400.1</v>
      </c>
      <c r="M13" s="13">
        <v>6400.1</v>
      </c>
      <c r="N13" s="13">
        <v>0</v>
      </c>
      <c r="O13" s="13">
        <v>64000.999999999993</v>
      </c>
    </row>
    <row r="14" spans="1:15">
      <c r="A14" s="15" t="s">
        <v>164</v>
      </c>
      <c r="B14" s="17" t="s">
        <v>165</v>
      </c>
      <c r="C14" s="13">
        <v>0</v>
      </c>
      <c r="D14" s="13">
        <v>0</v>
      </c>
      <c r="E14" s="13">
        <v>3367</v>
      </c>
      <c r="F14" s="13">
        <v>0</v>
      </c>
      <c r="G14" s="13">
        <v>0</v>
      </c>
      <c r="H14" s="13">
        <v>0</v>
      </c>
      <c r="I14" s="13">
        <v>0</v>
      </c>
      <c r="J14" s="13">
        <v>0</v>
      </c>
      <c r="K14" s="13">
        <v>0</v>
      </c>
      <c r="L14" s="13">
        <v>0</v>
      </c>
      <c r="M14" s="13">
        <v>0</v>
      </c>
      <c r="N14" s="13">
        <v>0</v>
      </c>
      <c r="O14" s="13">
        <v>3366.9999999999995</v>
      </c>
    </row>
    <row r="15" spans="1:15">
      <c r="A15" s="15" t="s">
        <v>94</v>
      </c>
      <c r="B15" s="5" t="s">
        <v>166</v>
      </c>
      <c r="C15" s="13">
        <v>12</v>
      </c>
      <c r="D15" s="13">
        <v>12</v>
      </c>
      <c r="E15" s="13">
        <v>252</v>
      </c>
      <c r="F15" s="13">
        <v>12</v>
      </c>
      <c r="G15" s="13">
        <v>12</v>
      </c>
      <c r="H15" s="13">
        <v>252</v>
      </c>
      <c r="I15" s="13">
        <v>12</v>
      </c>
      <c r="J15" s="13">
        <v>12</v>
      </c>
      <c r="K15" s="13">
        <v>252</v>
      </c>
      <c r="L15" s="13">
        <v>12</v>
      </c>
      <c r="M15" s="13">
        <v>12</v>
      </c>
      <c r="N15" s="13">
        <v>252</v>
      </c>
      <c r="O15" s="13">
        <v>1104</v>
      </c>
    </row>
    <row r="16" spans="1:15" s="19" customFormat="1">
      <c r="A16" s="20" t="s">
        <v>95</v>
      </c>
      <c r="B16" s="21" t="s">
        <v>167</v>
      </c>
      <c r="C16" s="195">
        <v>12</v>
      </c>
      <c r="D16" s="195">
        <v>12</v>
      </c>
      <c r="E16" s="195">
        <v>12</v>
      </c>
      <c r="F16" s="195">
        <v>12</v>
      </c>
      <c r="G16" s="195">
        <v>12</v>
      </c>
      <c r="H16" s="195">
        <v>12</v>
      </c>
      <c r="I16" s="195">
        <v>12</v>
      </c>
      <c r="J16" s="195">
        <v>12</v>
      </c>
      <c r="K16" s="195">
        <v>12</v>
      </c>
      <c r="L16" s="195">
        <v>12</v>
      </c>
      <c r="M16" s="195">
        <v>12</v>
      </c>
      <c r="N16" s="195">
        <v>12</v>
      </c>
      <c r="O16" s="33">
        <v>144</v>
      </c>
    </row>
    <row r="17" spans="1:17" s="19" customFormat="1">
      <c r="A17" s="22" t="s">
        <v>96</v>
      </c>
      <c r="B17" s="23" t="s">
        <v>168</v>
      </c>
      <c r="C17" s="195">
        <v>0</v>
      </c>
      <c r="D17" s="195">
        <v>0</v>
      </c>
      <c r="E17" s="195">
        <v>240</v>
      </c>
      <c r="F17" s="195">
        <v>0</v>
      </c>
      <c r="G17" s="195">
        <v>0</v>
      </c>
      <c r="H17" s="195">
        <v>240</v>
      </c>
      <c r="I17" s="195">
        <v>0</v>
      </c>
      <c r="J17" s="195">
        <v>0</v>
      </c>
      <c r="K17" s="195">
        <v>240</v>
      </c>
      <c r="L17" s="195">
        <v>0</v>
      </c>
      <c r="M17" s="195">
        <v>0</v>
      </c>
      <c r="N17" s="195">
        <v>240</v>
      </c>
      <c r="O17" s="35">
        <v>960</v>
      </c>
    </row>
    <row r="18" spans="1:17" s="19" customFormat="1" ht="7.5" customHeight="1">
      <c r="A18" s="38"/>
      <c r="B18" s="25"/>
      <c r="C18" s="36"/>
      <c r="D18" s="36"/>
      <c r="E18" s="36"/>
      <c r="F18" s="36"/>
      <c r="G18" s="36"/>
      <c r="H18" s="36"/>
      <c r="I18" s="36"/>
      <c r="J18" s="36"/>
      <c r="K18" s="36"/>
      <c r="L18" s="36"/>
      <c r="M18" s="36"/>
      <c r="N18" s="36"/>
      <c r="O18" s="36"/>
    </row>
    <row r="19" spans="1:17">
      <c r="A19" s="15" t="s">
        <v>97</v>
      </c>
      <c r="B19" s="9" t="s">
        <v>169</v>
      </c>
      <c r="C19" s="13">
        <v>0</v>
      </c>
      <c r="D19" s="13">
        <v>0</v>
      </c>
      <c r="E19" s="13">
        <v>0</v>
      </c>
      <c r="F19" s="13">
        <v>0</v>
      </c>
      <c r="G19" s="13">
        <v>0</v>
      </c>
      <c r="H19" s="13">
        <v>0</v>
      </c>
      <c r="I19" s="13">
        <v>0</v>
      </c>
      <c r="J19" s="13">
        <v>0</v>
      </c>
      <c r="K19" s="13">
        <v>0</v>
      </c>
      <c r="L19" s="13">
        <v>0</v>
      </c>
      <c r="M19" s="13">
        <v>0</v>
      </c>
      <c r="N19" s="13">
        <v>0</v>
      </c>
      <c r="O19" s="13">
        <v>0</v>
      </c>
    </row>
    <row r="20" spans="1:17">
      <c r="A20" s="15" t="s">
        <v>98</v>
      </c>
      <c r="B20" s="9" t="s">
        <v>170</v>
      </c>
      <c r="C20" s="13">
        <v>0</v>
      </c>
      <c r="D20" s="13">
        <v>0</v>
      </c>
      <c r="E20" s="13">
        <v>0</v>
      </c>
      <c r="F20" s="13">
        <v>0</v>
      </c>
      <c r="G20" s="13">
        <v>0</v>
      </c>
      <c r="H20" s="13">
        <v>0</v>
      </c>
      <c r="I20" s="13">
        <v>0</v>
      </c>
      <c r="J20" s="13">
        <v>0</v>
      </c>
      <c r="K20" s="13">
        <v>0</v>
      </c>
      <c r="L20" s="13">
        <v>0</v>
      </c>
      <c r="M20" s="13">
        <v>0</v>
      </c>
      <c r="N20" s="13">
        <v>0</v>
      </c>
      <c r="O20" s="13">
        <v>0</v>
      </c>
    </row>
    <row r="21" spans="1:17">
      <c r="A21" s="15" t="s">
        <v>99</v>
      </c>
      <c r="B21" s="5" t="s">
        <v>166</v>
      </c>
      <c r="C21" s="13">
        <v>7038</v>
      </c>
      <c r="D21" s="13">
        <v>7038</v>
      </c>
      <c r="E21" s="13">
        <v>7038</v>
      </c>
      <c r="F21" s="13">
        <v>7038</v>
      </c>
      <c r="G21" s="13">
        <v>7038</v>
      </c>
      <c r="H21" s="13">
        <v>7038</v>
      </c>
      <c r="I21" s="13">
        <v>7038</v>
      </c>
      <c r="J21" s="13">
        <v>7038</v>
      </c>
      <c r="K21" s="13">
        <v>7038</v>
      </c>
      <c r="L21" s="13">
        <v>7038</v>
      </c>
      <c r="M21" s="13">
        <v>7038</v>
      </c>
      <c r="N21" s="13">
        <v>7038</v>
      </c>
      <c r="O21" s="13">
        <v>84456</v>
      </c>
    </row>
    <row r="22" spans="1:17" s="19" customFormat="1">
      <c r="A22" s="20" t="s">
        <v>100</v>
      </c>
      <c r="B22" s="21" t="s">
        <v>171</v>
      </c>
      <c r="C22" s="32">
        <v>0</v>
      </c>
      <c r="D22" s="32">
        <v>0</v>
      </c>
      <c r="E22" s="32">
        <v>0</v>
      </c>
      <c r="F22" s="32">
        <v>0</v>
      </c>
      <c r="G22" s="32">
        <v>0</v>
      </c>
      <c r="H22" s="32">
        <v>0</v>
      </c>
      <c r="I22" s="32">
        <v>0</v>
      </c>
      <c r="J22" s="32">
        <v>0</v>
      </c>
      <c r="K22" s="32">
        <v>0</v>
      </c>
      <c r="L22" s="32">
        <v>0</v>
      </c>
      <c r="M22" s="32">
        <v>0</v>
      </c>
      <c r="N22" s="32">
        <v>0</v>
      </c>
      <c r="O22" s="33">
        <v>0</v>
      </c>
    </row>
    <row r="23" spans="1:17" s="19" customFormat="1">
      <c r="A23" s="24" t="s">
        <v>101</v>
      </c>
      <c r="B23" s="25" t="s">
        <v>172</v>
      </c>
      <c r="C23" s="36">
        <v>561</v>
      </c>
      <c r="D23" s="36">
        <v>561</v>
      </c>
      <c r="E23" s="36">
        <v>561</v>
      </c>
      <c r="F23" s="36">
        <v>561</v>
      </c>
      <c r="G23" s="36">
        <v>561</v>
      </c>
      <c r="H23" s="36">
        <v>561</v>
      </c>
      <c r="I23" s="36">
        <v>561</v>
      </c>
      <c r="J23" s="36">
        <v>561</v>
      </c>
      <c r="K23" s="36">
        <v>561</v>
      </c>
      <c r="L23" s="36">
        <v>561</v>
      </c>
      <c r="M23" s="36">
        <v>561</v>
      </c>
      <c r="N23" s="36">
        <v>561</v>
      </c>
      <c r="O23" s="37">
        <v>6732</v>
      </c>
      <c r="Q23" s="75"/>
    </row>
    <row r="24" spans="1:17" s="19" customFormat="1">
      <c r="A24" s="24" t="s">
        <v>102</v>
      </c>
      <c r="B24" s="25" t="s">
        <v>173</v>
      </c>
      <c r="C24" s="36">
        <v>386</v>
      </c>
      <c r="D24" s="36">
        <v>386</v>
      </c>
      <c r="E24" s="36">
        <v>386</v>
      </c>
      <c r="F24" s="36">
        <v>386</v>
      </c>
      <c r="G24" s="36">
        <v>386</v>
      </c>
      <c r="H24" s="36">
        <v>386</v>
      </c>
      <c r="I24" s="36">
        <v>386</v>
      </c>
      <c r="J24" s="36">
        <v>386</v>
      </c>
      <c r="K24" s="36">
        <v>386</v>
      </c>
      <c r="L24" s="36">
        <v>386</v>
      </c>
      <c r="M24" s="36">
        <v>386</v>
      </c>
      <c r="N24" s="36">
        <v>386</v>
      </c>
      <c r="O24" s="37">
        <v>4632</v>
      </c>
    </row>
    <row r="25" spans="1:17" s="19" customFormat="1">
      <c r="A25" s="24" t="s">
        <v>103</v>
      </c>
      <c r="B25" s="25" t="s">
        <v>174</v>
      </c>
      <c r="C25" s="36">
        <v>0</v>
      </c>
      <c r="D25" s="36">
        <v>0</v>
      </c>
      <c r="E25" s="36">
        <v>0</v>
      </c>
      <c r="F25" s="36">
        <v>0</v>
      </c>
      <c r="G25" s="36">
        <v>0</v>
      </c>
      <c r="H25" s="36">
        <v>0</v>
      </c>
      <c r="I25" s="36">
        <v>0</v>
      </c>
      <c r="J25" s="36">
        <v>0</v>
      </c>
      <c r="K25" s="36">
        <v>0</v>
      </c>
      <c r="L25" s="36">
        <v>0</v>
      </c>
      <c r="M25" s="36">
        <v>0</v>
      </c>
      <c r="N25" s="36">
        <v>0</v>
      </c>
      <c r="O25" s="37">
        <v>0</v>
      </c>
    </row>
    <row r="26" spans="1:17" s="19" customFormat="1">
      <c r="A26" s="24" t="s">
        <v>104</v>
      </c>
      <c r="B26" s="25" t="s">
        <v>175</v>
      </c>
      <c r="C26" s="36">
        <v>1415</v>
      </c>
      <c r="D26" s="36">
        <v>1415</v>
      </c>
      <c r="E26" s="36">
        <v>1415</v>
      </c>
      <c r="F26" s="36">
        <v>1415</v>
      </c>
      <c r="G26" s="36">
        <v>1415</v>
      </c>
      <c r="H26" s="36">
        <v>1415</v>
      </c>
      <c r="I26" s="36">
        <v>1415</v>
      </c>
      <c r="J26" s="36">
        <v>1415</v>
      </c>
      <c r="K26" s="36">
        <v>1415</v>
      </c>
      <c r="L26" s="36">
        <v>1415</v>
      </c>
      <c r="M26" s="36">
        <v>1415</v>
      </c>
      <c r="N26" s="36">
        <v>1415</v>
      </c>
      <c r="O26" s="37">
        <v>16980</v>
      </c>
    </row>
    <row r="27" spans="1:17" s="19" customFormat="1">
      <c r="A27" s="24" t="s">
        <v>105</v>
      </c>
      <c r="B27" s="25" t="s">
        <v>337</v>
      </c>
      <c r="C27" s="36">
        <v>2102</v>
      </c>
      <c r="D27" s="36">
        <v>2102</v>
      </c>
      <c r="E27" s="36">
        <v>2102</v>
      </c>
      <c r="F27" s="36">
        <v>2102</v>
      </c>
      <c r="G27" s="36">
        <v>2102</v>
      </c>
      <c r="H27" s="36">
        <v>2102</v>
      </c>
      <c r="I27" s="36">
        <v>2102</v>
      </c>
      <c r="J27" s="36">
        <v>2102</v>
      </c>
      <c r="K27" s="36">
        <v>2102</v>
      </c>
      <c r="L27" s="36">
        <v>2102</v>
      </c>
      <c r="M27" s="36">
        <v>2102</v>
      </c>
      <c r="N27" s="36">
        <v>2102</v>
      </c>
      <c r="O27" s="37">
        <v>25224</v>
      </c>
    </row>
    <row r="28" spans="1:17" s="19" customFormat="1">
      <c r="A28" s="24" t="s">
        <v>106</v>
      </c>
      <c r="B28" s="25" t="s">
        <v>177</v>
      </c>
      <c r="C28" s="36">
        <v>1363</v>
      </c>
      <c r="D28" s="36">
        <v>1363</v>
      </c>
      <c r="E28" s="36">
        <v>1363</v>
      </c>
      <c r="F28" s="36">
        <v>1363</v>
      </c>
      <c r="G28" s="36">
        <v>1363</v>
      </c>
      <c r="H28" s="36">
        <v>1363</v>
      </c>
      <c r="I28" s="36">
        <v>1363</v>
      </c>
      <c r="J28" s="36">
        <v>1363</v>
      </c>
      <c r="K28" s="36">
        <v>1363</v>
      </c>
      <c r="L28" s="36">
        <v>1363</v>
      </c>
      <c r="M28" s="36">
        <v>1363</v>
      </c>
      <c r="N28" s="36">
        <v>1363</v>
      </c>
      <c r="O28" s="37">
        <v>16356</v>
      </c>
    </row>
    <row r="29" spans="1:17" s="19" customFormat="1">
      <c r="A29" s="24" t="s">
        <v>341</v>
      </c>
      <c r="B29" s="25" t="s">
        <v>178</v>
      </c>
      <c r="C29" s="36">
        <v>0</v>
      </c>
      <c r="D29" s="36">
        <v>0</v>
      </c>
      <c r="E29" s="36">
        <v>0</v>
      </c>
      <c r="F29" s="36">
        <v>0</v>
      </c>
      <c r="G29" s="36">
        <v>0</v>
      </c>
      <c r="H29" s="36">
        <v>0</v>
      </c>
      <c r="I29" s="36">
        <v>0</v>
      </c>
      <c r="J29" s="36">
        <v>0</v>
      </c>
      <c r="K29" s="36">
        <v>0</v>
      </c>
      <c r="L29" s="36">
        <v>0</v>
      </c>
      <c r="M29" s="36">
        <v>0</v>
      </c>
      <c r="N29" s="36">
        <v>0</v>
      </c>
      <c r="O29" s="37">
        <v>0</v>
      </c>
    </row>
    <row r="30" spans="1:17" s="19" customFormat="1">
      <c r="A30" s="24" t="s">
        <v>108</v>
      </c>
      <c r="B30" s="25" t="s">
        <v>179</v>
      </c>
      <c r="C30" s="36">
        <v>0</v>
      </c>
      <c r="D30" s="36">
        <v>0</v>
      </c>
      <c r="E30" s="36">
        <v>0</v>
      </c>
      <c r="F30" s="36">
        <v>0</v>
      </c>
      <c r="G30" s="36">
        <v>0</v>
      </c>
      <c r="H30" s="36">
        <v>0</v>
      </c>
      <c r="I30" s="36">
        <v>0</v>
      </c>
      <c r="J30" s="36">
        <v>0</v>
      </c>
      <c r="K30" s="36">
        <v>0</v>
      </c>
      <c r="L30" s="36">
        <v>0</v>
      </c>
      <c r="M30" s="36">
        <v>0</v>
      </c>
      <c r="N30" s="36">
        <v>0</v>
      </c>
      <c r="O30" s="37">
        <v>0</v>
      </c>
    </row>
    <row r="31" spans="1:17" s="19" customFormat="1">
      <c r="A31" s="22" t="s">
        <v>383</v>
      </c>
      <c r="B31" s="23" t="s">
        <v>337</v>
      </c>
      <c r="C31" s="34">
        <v>1211</v>
      </c>
      <c r="D31" s="34">
        <v>1211</v>
      </c>
      <c r="E31" s="34">
        <v>1211</v>
      </c>
      <c r="F31" s="34">
        <v>1211</v>
      </c>
      <c r="G31" s="34">
        <v>727</v>
      </c>
      <c r="H31" s="34">
        <v>727</v>
      </c>
      <c r="I31" s="34">
        <v>727</v>
      </c>
      <c r="J31" s="34">
        <v>727</v>
      </c>
      <c r="K31" s="34">
        <v>727</v>
      </c>
      <c r="L31" s="34">
        <v>727</v>
      </c>
      <c r="M31" s="34">
        <v>727</v>
      </c>
      <c r="N31" s="34">
        <v>727</v>
      </c>
      <c r="O31" s="37">
        <v>10660</v>
      </c>
      <c r="Q31" s="36"/>
    </row>
    <row r="32" spans="1:17" s="19" customFormat="1">
      <c r="A32" s="38"/>
      <c r="B32" s="25"/>
      <c r="C32" s="36"/>
      <c r="D32" s="36"/>
      <c r="E32" s="36"/>
      <c r="F32" s="36"/>
      <c r="G32" s="36"/>
      <c r="H32" s="36"/>
      <c r="I32" s="36"/>
      <c r="J32" s="36"/>
      <c r="K32" s="36"/>
      <c r="L32" s="36"/>
      <c r="M32" s="36"/>
      <c r="N32" s="36"/>
      <c r="O32" s="36"/>
    </row>
    <row r="33" spans="1:15">
      <c r="A33" s="15" t="s">
        <v>110</v>
      </c>
      <c r="B33" s="5" t="s">
        <v>166</v>
      </c>
      <c r="C33" s="13">
        <v>550</v>
      </c>
      <c r="D33" s="13">
        <v>2550</v>
      </c>
      <c r="E33" s="13">
        <v>2550</v>
      </c>
      <c r="F33" s="13">
        <v>2950</v>
      </c>
      <c r="G33" s="13">
        <v>550</v>
      </c>
      <c r="H33" s="13">
        <v>550</v>
      </c>
      <c r="I33" s="13">
        <v>550</v>
      </c>
      <c r="J33" s="13">
        <v>550</v>
      </c>
      <c r="K33" s="13">
        <v>550</v>
      </c>
      <c r="L33" s="13">
        <v>550</v>
      </c>
      <c r="M33" s="13">
        <v>550</v>
      </c>
      <c r="N33" s="13">
        <v>550</v>
      </c>
      <c r="O33" s="13">
        <v>13000</v>
      </c>
    </row>
    <row r="34" spans="1:15" s="19" customFormat="1">
      <c r="A34" s="20" t="s">
        <v>111</v>
      </c>
      <c r="B34" s="21" t="s">
        <v>182</v>
      </c>
      <c r="C34" s="32">
        <v>350</v>
      </c>
      <c r="D34" s="32">
        <v>2350</v>
      </c>
      <c r="E34" s="32">
        <v>2350</v>
      </c>
      <c r="F34" s="32">
        <v>2750</v>
      </c>
      <c r="G34" s="32">
        <v>350</v>
      </c>
      <c r="H34" s="32">
        <v>350</v>
      </c>
      <c r="I34" s="32">
        <v>350</v>
      </c>
      <c r="J34" s="32">
        <v>350</v>
      </c>
      <c r="K34" s="32">
        <v>350</v>
      </c>
      <c r="L34" s="32">
        <v>350</v>
      </c>
      <c r="M34" s="32">
        <v>350</v>
      </c>
      <c r="N34" s="32">
        <v>350</v>
      </c>
      <c r="O34" s="33">
        <v>10600</v>
      </c>
    </row>
    <row r="35" spans="1:15" s="19" customFormat="1">
      <c r="A35" s="22" t="s">
        <v>112</v>
      </c>
      <c r="B35" s="23" t="s">
        <v>183</v>
      </c>
      <c r="C35" s="34">
        <v>200</v>
      </c>
      <c r="D35" s="34">
        <v>200</v>
      </c>
      <c r="E35" s="34">
        <v>200</v>
      </c>
      <c r="F35" s="34">
        <v>200</v>
      </c>
      <c r="G35" s="34">
        <v>200</v>
      </c>
      <c r="H35" s="34">
        <v>200</v>
      </c>
      <c r="I35" s="34">
        <v>200</v>
      </c>
      <c r="J35" s="34">
        <v>200</v>
      </c>
      <c r="K35" s="34">
        <v>200</v>
      </c>
      <c r="L35" s="34">
        <v>200</v>
      </c>
      <c r="M35" s="34">
        <v>200</v>
      </c>
      <c r="N35" s="34">
        <v>200</v>
      </c>
      <c r="O35" s="35">
        <v>2400</v>
      </c>
    </row>
    <row r="36" spans="1:15" s="19" customFormat="1">
      <c r="A36" s="38"/>
      <c r="B36" s="25"/>
      <c r="C36" s="36"/>
      <c r="D36" s="36"/>
      <c r="E36" s="36"/>
      <c r="F36" s="36"/>
      <c r="G36" s="36"/>
      <c r="H36" s="36"/>
      <c r="I36" s="36"/>
      <c r="J36" s="36"/>
      <c r="K36" s="36"/>
      <c r="L36" s="36"/>
      <c r="M36" s="36"/>
      <c r="N36" s="36"/>
      <c r="O36" s="36"/>
    </row>
    <row r="37" spans="1:15">
      <c r="A37" s="15" t="s">
        <v>113</v>
      </c>
      <c r="B37" s="5" t="s">
        <v>184</v>
      </c>
      <c r="C37" s="13">
        <v>400</v>
      </c>
      <c r="D37" s="13">
        <v>0</v>
      </c>
      <c r="E37" s="13">
        <v>0</v>
      </c>
      <c r="F37" s="13">
        <v>420</v>
      </c>
      <c r="G37" s="13">
        <v>420</v>
      </c>
      <c r="H37" s="13">
        <v>420</v>
      </c>
      <c r="I37" s="13">
        <v>420</v>
      </c>
      <c r="J37" s="13">
        <v>420</v>
      </c>
      <c r="K37" s="13">
        <v>420</v>
      </c>
      <c r="L37" s="13">
        <v>420</v>
      </c>
      <c r="M37" s="13">
        <v>420</v>
      </c>
      <c r="N37" s="13">
        <v>420</v>
      </c>
      <c r="O37" s="13">
        <v>4180</v>
      </c>
    </row>
    <row r="38" spans="1:15">
      <c r="A38" s="15" t="s">
        <v>114</v>
      </c>
      <c r="B38" s="5" t="s">
        <v>166</v>
      </c>
      <c r="C38" s="13">
        <v>1592</v>
      </c>
      <c r="D38" s="13">
        <v>1592</v>
      </c>
      <c r="E38" s="13">
        <v>1592</v>
      </c>
      <c r="F38" s="13">
        <v>1292</v>
      </c>
      <c r="G38" s="13">
        <v>1292</v>
      </c>
      <c r="H38" s="13">
        <v>1292</v>
      </c>
      <c r="I38" s="13">
        <v>1292</v>
      </c>
      <c r="J38" s="13">
        <v>1292</v>
      </c>
      <c r="K38" s="13">
        <v>700</v>
      </c>
      <c r="L38" s="13">
        <v>700</v>
      </c>
      <c r="M38" s="13">
        <v>1200</v>
      </c>
      <c r="N38" s="13">
        <v>1200</v>
      </c>
      <c r="O38" s="13">
        <v>15036</v>
      </c>
    </row>
    <row r="39" spans="1:15" s="19" customFormat="1">
      <c r="A39" s="20" t="s">
        <v>115</v>
      </c>
      <c r="B39" s="21" t="s">
        <v>185</v>
      </c>
      <c r="C39" s="32">
        <v>1000</v>
      </c>
      <c r="D39" s="32">
        <v>1000</v>
      </c>
      <c r="E39" s="32">
        <v>1000</v>
      </c>
      <c r="F39" s="32">
        <v>700</v>
      </c>
      <c r="G39" s="32">
        <v>700</v>
      </c>
      <c r="H39" s="32">
        <v>700</v>
      </c>
      <c r="I39" s="32">
        <v>700</v>
      </c>
      <c r="J39" s="32">
        <v>700</v>
      </c>
      <c r="K39" s="32">
        <v>700</v>
      </c>
      <c r="L39" s="32">
        <v>700</v>
      </c>
      <c r="M39" s="32">
        <v>700</v>
      </c>
      <c r="N39" s="32">
        <v>700</v>
      </c>
      <c r="O39" s="33">
        <v>9300</v>
      </c>
    </row>
    <row r="40" spans="1:15" s="19" customFormat="1">
      <c r="A40" s="24" t="s">
        <v>116</v>
      </c>
      <c r="B40" s="25" t="s">
        <v>186</v>
      </c>
      <c r="C40" s="36">
        <v>0</v>
      </c>
      <c r="D40" s="36">
        <v>0</v>
      </c>
      <c r="E40" s="36">
        <v>0</v>
      </c>
      <c r="F40" s="36">
        <v>0</v>
      </c>
      <c r="G40" s="36">
        <v>0</v>
      </c>
      <c r="H40" s="36">
        <v>0</v>
      </c>
      <c r="I40" s="36">
        <v>0</v>
      </c>
      <c r="J40" s="36">
        <v>0</v>
      </c>
      <c r="K40" s="36">
        <v>0</v>
      </c>
      <c r="L40" s="36">
        <v>0</v>
      </c>
      <c r="M40" s="36">
        <v>0</v>
      </c>
      <c r="N40" s="36">
        <v>0</v>
      </c>
      <c r="O40" s="37">
        <v>0</v>
      </c>
    </row>
    <row r="41" spans="1:15" s="19" customFormat="1">
      <c r="A41" s="22" t="s">
        <v>117</v>
      </c>
      <c r="B41" s="23" t="s">
        <v>187</v>
      </c>
      <c r="C41" s="34">
        <v>592</v>
      </c>
      <c r="D41" s="34">
        <v>592</v>
      </c>
      <c r="E41" s="34">
        <v>592</v>
      </c>
      <c r="F41" s="34">
        <v>592</v>
      </c>
      <c r="G41" s="34">
        <v>592</v>
      </c>
      <c r="H41" s="34">
        <v>592</v>
      </c>
      <c r="I41" s="34">
        <v>592</v>
      </c>
      <c r="J41" s="34">
        <v>592</v>
      </c>
      <c r="K41" s="34">
        <v>0</v>
      </c>
      <c r="L41" s="34">
        <v>0</v>
      </c>
      <c r="M41" s="34">
        <v>500</v>
      </c>
      <c r="N41" s="34">
        <v>500</v>
      </c>
      <c r="O41" s="35">
        <v>5736</v>
      </c>
    </row>
    <row r="42" spans="1:15" s="19" customFormat="1">
      <c r="A42" s="38"/>
      <c r="B42" s="25"/>
      <c r="C42" s="36"/>
      <c r="D42" s="36"/>
      <c r="E42" s="36"/>
      <c r="F42" s="36"/>
      <c r="G42" s="36"/>
      <c r="H42" s="36"/>
      <c r="I42" s="36"/>
      <c r="J42" s="36"/>
      <c r="K42" s="36"/>
      <c r="L42" s="36"/>
      <c r="M42" s="36"/>
      <c r="N42" s="36"/>
      <c r="O42" s="36"/>
    </row>
    <row r="43" spans="1:15">
      <c r="A43" s="15" t="s">
        <v>118</v>
      </c>
      <c r="B43" s="5" t="s">
        <v>166</v>
      </c>
      <c r="C43" s="13">
        <v>112</v>
      </c>
      <c r="D43" s="13">
        <v>112</v>
      </c>
      <c r="E43" s="13">
        <v>112</v>
      </c>
      <c r="F43" s="13">
        <v>112</v>
      </c>
      <c r="G43" s="13">
        <v>112</v>
      </c>
      <c r="H43" s="13">
        <v>112</v>
      </c>
      <c r="I43" s="13">
        <v>112</v>
      </c>
      <c r="J43" s="13">
        <v>112</v>
      </c>
      <c r="K43" s="13">
        <v>112</v>
      </c>
      <c r="L43" s="13">
        <v>112</v>
      </c>
      <c r="M43" s="13">
        <v>112</v>
      </c>
      <c r="N43" s="13">
        <v>112</v>
      </c>
      <c r="O43" s="13">
        <v>1344</v>
      </c>
    </row>
    <row r="44" spans="1:15" s="19" customFormat="1">
      <c r="A44" s="20" t="s">
        <v>119</v>
      </c>
      <c r="B44" s="21" t="s">
        <v>188</v>
      </c>
      <c r="C44" s="32">
        <v>62</v>
      </c>
      <c r="D44" s="32">
        <v>62</v>
      </c>
      <c r="E44" s="32">
        <v>62</v>
      </c>
      <c r="F44" s="32">
        <v>62</v>
      </c>
      <c r="G44" s="32">
        <v>62</v>
      </c>
      <c r="H44" s="32">
        <v>62</v>
      </c>
      <c r="I44" s="32">
        <v>62</v>
      </c>
      <c r="J44" s="32">
        <v>62</v>
      </c>
      <c r="K44" s="32">
        <v>62</v>
      </c>
      <c r="L44" s="32">
        <v>62</v>
      </c>
      <c r="M44" s="32">
        <v>62</v>
      </c>
      <c r="N44" s="32">
        <v>62</v>
      </c>
      <c r="O44" s="33">
        <v>744</v>
      </c>
    </row>
    <row r="45" spans="1:15" s="19" customFormat="1">
      <c r="A45" s="22" t="s">
        <v>120</v>
      </c>
      <c r="B45" s="23" t="s">
        <v>190</v>
      </c>
      <c r="C45" s="34">
        <v>50</v>
      </c>
      <c r="D45" s="34">
        <v>50</v>
      </c>
      <c r="E45" s="34">
        <v>50</v>
      </c>
      <c r="F45" s="34">
        <v>50</v>
      </c>
      <c r="G45" s="34">
        <v>50</v>
      </c>
      <c r="H45" s="34">
        <v>50</v>
      </c>
      <c r="I45" s="34">
        <v>50</v>
      </c>
      <c r="J45" s="34">
        <v>50</v>
      </c>
      <c r="K45" s="34">
        <v>50</v>
      </c>
      <c r="L45" s="34">
        <v>50</v>
      </c>
      <c r="M45" s="34">
        <v>50</v>
      </c>
      <c r="N45" s="34">
        <v>50</v>
      </c>
      <c r="O45" s="35">
        <v>600</v>
      </c>
    </row>
    <row r="46" spans="1:15" s="19" customFormat="1">
      <c r="A46" s="38"/>
      <c r="B46" s="25"/>
      <c r="C46" s="36"/>
      <c r="D46" s="36"/>
      <c r="E46" s="36"/>
      <c r="F46" s="36"/>
      <c r="G46" s="36"/>
      <c r="H46" s="36"/>
      <c r="I46" s="36"/>
      <c r="J46" s="36"/>
      <c r="K46" s="36"/>
      <c r="L46" s="36"/>
      <c r="M46" s="36"/>
      <c r="N46" s="36"/>
      <c r="O46" s="36"/>
    </row>
    <row r="47" spans="1:15">
      <c r="A47" s="15" t="s">
        <v>121</v>
      </c>
      <c r="B47" s="5" t="s">
        <v>192</v>
      </c>
      <c r="C47" s="13">
        <v>300</v>
      </c>
      <c r="D47" s="13">
        <v>300</v>
      </c>
      <c r="E47" s="13">
        <v>300</v>
      </c>
      <c r="F47" s="13">
        <v>300</v>
      </c>
      <c r="G47" s="13">
        <v>300</v>
      </c>
      <c r="H47" s="13">
        <v>300</v>
      </c>
      <c r="I47" s="13">
        <v>300</v>
      </c>
      <c r="J47" s="13">
        <v>300</v>
      </c>
      <c r="K47" s="13">
        <v>300</v>
      </c>
      <c r="L47" s="13">
        <v>300</v>
      </c>
      <c r="M47" s="13">
        <v>300</v>
      </c>
      <c r="N47" s="13">
        <v>300</v>
      </c>
      <c r="O47" s="13">
        <v>3600</v>
      </c>
    </row>
    <row r="48" spans="1:15">
      <c r="A48" s="15" t="s">
        <v>122</v>
      </c>
      <c r="B48" s="5" t="s">
        <v>166</v>
      </c>
      <c r="C48" s="13">
        <v>380</v>
      </c>
      <c r="D48" s="13">
        <v>380</v>
      </c>
      <c r="E48" s="13">
        <v>380</v>
      </c>
      <c r="F48" s="13">
        <v>380</v>
      </c>
      <c r="G48" s="13">
        <v>380</v>
      </c>
      <c r="H48" s="13">
        <v>380</v>
      </c>
      <c r="I48" s="13">
        <v>380</v>
      </c>
      <c r="J48" s="13">
        <v>380</v>
      </c>
      <c r="K48" s="13">
        <v>380</v>
      </c>
      <c r="L48" s="13">
        <v>380</v>
      </c>
      <c r="M48" s="13">
        <v>380</v>
      </c>
      <c r="N48" s="13">
        <v>380</v>
      </c>
      <c r="O48" s="13">
        <v>4560</v>
      </c>
    </row>
    <row r="49" spans="1:16">
      <c r="A49" s="20" t="s">
        <v>123</v>
      </c>
      <c r="B49" s="21" t="s">
        <v>193</v>
      </c>
      <c r="C49" s="32">
        <v>30</v>
      </c>
      <c r="D49" s="32">
        <v>30</v>
      </c>
      <c r="E49" s="32">
        <v>30</v>
      </c>
      <c r="F49" s="32">
        <v>30</v>
      </c>
      <c r="G49" s="32">
        <v>30</v>
      </c>
      <c r="H49" s="32">
        <v>30</v>
      </c>
      <c r="I49" s="32">
        <v>30</v>
      </c>
      <c r="J49" s="32">
        <v>30</v>
      </c>
      <c r="K49" s="32">
        <v>30</v>
      </c>
      <c r="L49" s="32">
        <v>30</v>
      </c>
      <c r="M49" s="32">
        <v>30</v>
      </c>
      <c r="N49" s="32">
        <v>30</v>
      </c>
      <c r="O49" s="33">
        <v>360</v>
      </c>
    </row>
    <row r="50" spans="1:16" s="19" customFormat="1">
      <c r="A50" s="24" t="s">
        <v>124</v>
      </c>
      <c r="B50" s="25" t="s">
        <v>194</v>
      </c>
      <c r="C50" s="36">
        <v>150</v>
      </c>
      <c r="D50" s="36">
        <v>150</v>
      </c>
      <c r="E50" s="36">
        <v>150</v>
      </c>
      <c r="F50" s="36">
        <v>150</v>
      </c>
      <c r="G50" s="36">
        <v>150</v>
      </c>
      <c r="H50" s="36">
        <v>150</v>
      </c>
      <c r="I50" s="36">
        <v>150</v>
      </c>
      <c r="J50" s="36">
        <v>150</v>
      </c>
      <c r="K50" s="36">
        <v>150</v>
      </c>
      <c r="L50" s="36">
        <v>150</v>
      </c>
      <c r="M50" s="36">
        <v>150</v>
      </c>
      <c r="N50" s="36">
        <v>150</v>
      </c>
      <c r="O50" s="37">
        <v>1800</v>
      </c>
    </row>
    <row r="51" spans="1:16" s="19" customFormat="1">
      <c r="A51" s="22" t="s">
        <v>125</v>
      </c>
      <c r="B51" s="23" t="s">
        <v>195</v>
      </c>
      <c r="C51" s="34">
        <v>200</v>
      </c>
      <c r="D51" s="34">
        <v>200</v>
      </c>
      <c r="E51" s="34">
        <v>200</v>
      </c>
      <c r="F51" s="34">
        <v>200</v>
      </c>
      <c r="G51" s="34">
        <v>200</v>
      </c>
      <c r="H51" s="34">
        <v>200</v>
      </c>
      <c r="I51" s="34">
        <v>200</v>
      </c>
      <c r="J51" s="34">
        <v>200</v>
      </c>
      <c r="K51" s="34">
        <v>200</v>
      </c>
      <c r="L51" s="34">
        <v>200</v>
      </c>
      <c r="M51" s="34">
        <v>200</v>
      </c>
      <c r="N51" s="34">
        <v>200</v>
      </c>
      <c r="O51" s="35">
        <v>2400</v>
      </c>
    </row>
    <row r="52" spans="1:16" s="19" customFormat="1">
      <c r="A52" s="38"/>
      <c r="B52" s="25"/>
      <c r="C52" s="36"/>
      <c r="D52" s="36"/>
      <c r="E52" s="36"/>
      <c r="F52" s="36"/>
      <c r="G52" s="36"/>
      <c r="H52" s="36"/>
      <c r="I52" s="36"/>
      <c r="J52" s="36"/>
      <c r="K52" s="36"/>
      <c r="L52" s="36"/>
      <c r="M52" s="36"/>
      <c r="N52" s="36"/>
      <c r="O52" s="36"/>
    </row>
    <row r="53" spans="1:16" s="19" customFormat="1">
      <c r="A53" s="15" t="s">
        <v>126</v>
      </c>
      <c r="B53" s="5"/>
      <c r="C53" s="13">
        <v>1500</v>
      </c>
      <c r="D53" s="13">
        <v>1500</v>
      </c>
      <c r="E53" s="13">
        <v>1500</v>
      </c>
      <c r="F53" s="13">
        <v>1500</v>
      </c>
      <c r="G53" s="13">
        <v>1500</v>
      </c>
      <c r="H53" s="13">
        <v>1500</v>
      </c>
      <c r="I53" s="13">
        <v>1500</v>
      </c>
      <c r="J53" s="13">
        <v>1386</v>
      </c>
      <c r="K53" s="13">
        <v>500</v>
      </c>
      <c r="L53" s="13">
        <v>500</v>
      </c>
      <c r="M53" s="13">
        <v>500</v>
      </c>
      <c r="N53" s="13">
        <v>500</v>
      </c>
      <c r="O53" s="13">
        <v>13886</v>
      </c>
    </row>
    <row r="54" spans="1:16">
      <c r="A54" s="20" t="s">
        <v>127</v>
      </c>
      <c r="B54" s="21" t="s">
        <v>196</v>
      </c>
      <c r="C54" s="32">
        <v>0</v>
      </c>
      <c r="D54" s="32">
        <v>0</v>
      </c>
      <c r="E54" s="32">
        <v>0</v>
      </c>
      <c r="F54" s="32">
        <v>0</v>
      </c>
      <c r="G54" s="32">
        <v>0</v>
      </c>
      <c r="H54" s="32">
        <v>0</v>
      </c>
      <c r="I54" s="32">
        <v>0</v>
      </c>
      <c r="J54" s="32">
        <v>0</v>
      </c>
      <c r="K54" s="32">
        <v>0</v>
      </c>
      <c r="L54" s="32">
        <v>0</v>
      </c>
      <c r="M54" s="32">
        <v>0</v>
      </c>
      <c r="N54" s="32">
        <v>0</v>
      </c>
      <c r="O54" s="33">
        <v>0</v>
      </c>
    </row>
    <row r="55" spans="1:16" s="19" customFormat="1">
      <c r="A55" s="24" t="s">
        <v>128</v>
      </c>
      <c r="B55" s="25" t="s">
        <v>197</v>
      </c>
      <c r="C55" s="36">
        <v>200</v>
      </c>
      <c r="D55" s="36">
        <v>200</v>
      </c>
      <c r="E55" s="36">
        <v>200</v>
      </c>
      <c r="F55" s="36">
        <v>200</v>
      </c>
      <c r="G55" s="36">
        <v>200</v>
      </c>
      <c r="H55" s="36">
        <v>200</v>
      </c>
      <c r="I55" s="36">
        <v>200</v>
      </c>
      <c r="J55" s="36">
        <v>200</v>
      </c>
      <c r="K55" s="36">
        <v>200</v>
      </c>
      <c r="L55" s="36">
        <v>200</v>
      </c>
      <c r="M55" s="36">
        <v>200</v>
      </c>
      <c r="N55" s="36">
        <v>200</v>
      </c>
      <c r="O55" s="37">
        <v>2400</v>
      </c>
    </row>
    <row r="56" spans="1:16" s="19" customFormat="1">
      <c r="A56" s="24" t="s">
        <v>129</v>
      </c>
      <c r="B56" s="25" t="s">
        <v>198</v>
      </c>
      <c r="C56" s="207">
        <v>1330.25</v>
      </c>
      <c r="D56" s="207">
        <v>3032</v>
      </c>
      <c r="E56" s="208">
        <v>523</v>
      </c>
      <c r="F56" s="36">
        <v>120</v>
      </c>
      <c r="G56" s="36">
        <v>560</v>
      </c>
      <c r="H56" s="36">
        <v>1000</v>
      </c>
      <c r="I56" s="36">
        <v>1000</v>
      </c>
      <c r="J56" s="36">
        <v>300</v>
      </c>
      <c r="K56" s="36">
        <v>20</v>
      </c>
      <c r="L56" s="36">
        <v>1</v>
      </c>
      <c r="M56" s="36">
        <v>0</v>
      </c>
      <c r="N56" s="36">
        <v>0</v>
      </c>
      <c r="O56" s="37">
        <v>7886</v>
      </c>
      <c r="P56" s="184"/>
    </row>
    <row r="57" spans="1:16" s="19" customFormat="1">
      <c r="A57" s="24" t="s">
        <v>81</v>
      </c>
      <c r="B57" s="25" t="s">
        <v>199</v>
      </c>
      <c r="C57" s="36">
        <v>0</v>
      </c>
      <c r="D57" s="36">
        <v>0</v>
      </c>
      <c r="E57" s="36">
        <v>0</v>
      </c>
      <c r="F57" s="36">
        <v>0</v>
      </c>
      <c r="G57" s="36">
        <v>0</v>
      </c>
      <c r="H57" s="36">
        <v>0</v>
      </c>
      <c r="I57" s="36">
        <v>0</v>
      </c>
      <c r="J57" s="36">
        <v>0</v>
      </c>
      <c r="K57" s="36">
        <v>0</v>
      </c>
      <c r="L57" s="36">
        <v>0</v>
      </c>
      <c r="M57" s="36">
        <v>0</v>
      </c>
      <c r="N57" s="13">
        <v>0</v>
      </c>
      <c r="O57" s="37">
        <v>0</v>
      </c>
    </row>
    <row r="58" spans="1:16" s="19" customFormat="1">
      <c r="A58" s="22" t="s">
        <v>200</v>
      </c>
      <c r="B58" s="23" t="s">
        <v>201</v>
      </c>
      <c r="C58" s="36">
        <v>300</v>
      </c>
      <c r="D58" s="36">
        <v>300</v>
      </c>
      <c r="E58" s="36">
        <v>300</v>
      </c>
      <c r="F58" s="36">
        <v>300</v>
      </c>
      <c r="G58" s="36">
        <v>300</v>
      </c>
      <c r="H58" s="36">
        <v>300</v>
      </c>
      <c r="I58" s="36">
        <v>300</v>
      </c>
      <c r="J58" s="36">
        <v>300</v>
      </c>
      <c r="K58" s="36">
        <v>300</v>
      </c>
      <c r="L58" s="36">
        <v>300</v>
      </c>
      <c r="M58" s="36">
        <v>300</v>
      </c>
      <c r="N58" s="36">
        <v>300</v>
      </c>
      <c r="O58" s="35">
        <v>3600</v>
      </c>
    </row>
    <row r="59" spans="1:16" s="19" customFormat="1">
      <c r="A59" s="38"/>
      <c r="B59" s="25"/>
      <c r="C59" s="36"/>
      <c r="D59" s="36"/>
      <c r="E59" s="36"/>
      <c r="F59" s="36"/>
      <c r="G59" s="36"/>
      <c r="H59" s="36"/>
      <c r="I59" s="36"/>
      <c r="J59" s="36"/>
      <c r="K59" s="36"/>
      <c r="L59" s="36"/>
      <c r="M59" s="36"/>
      <c r="N59" s="36"/>
      <c r="O59" s="36"/>
    </row>
    <row r="60" spans="1:16" s="19" customFormat="1" ht="14.65" thickBot="1">
      <c r="A60" s="7" t="s">
        <v>131</v>
      </c>
      <c r="B60" s="25"/>
      <c r="C60" s="28">
        <v>11884</v>
      </c>
      <c r="D60" s="28">
        <v>20220.800000000003</v>
      </c>
      <c r="E60" s="28">
        <v>20460.800000000003</v>
      </c>
      <c r="F60" s="28">
        <v>20740.800000000003</v>
      </c>
      <c r="G60" s="28">
        <v>18340.800000000003</v>
      </c>
      <c r="H60" s="28">
        <v>18580.800000000003</v>
      </c>
      <c r="I60" s="28">
        <v>18340.800000000003</v>
      </c>
      <c r="J60" s="28">
        <v>18226.800000000003</v>
      </c>
      <c r="K60" s="28">
        <v>16988.800000000003</v>
      </c>
      <c r="L60" s="28">
        <v>16748.800000000003</v>
      </c>
      <c r="M60" s="28">
        <v>17248.800000000003</v>
      </c>
      <c r="N60" s="28">
        <v>10752</v>
      </c>
      <c r="O60" s="28">
        <f>208534-3872</f>
        <v>204662</v>
      </c>
    </row>
    <row r="61" spans="1:16" s="19" customFormat="1">
      <c r="A61" s="7"/>
      <c r="B61" s="25"/>
      <c r="C61" s="36"/>
      <c r="D61" s="36"/>
      <c r="E61" s="36"/>
      <c r="F61" s="36"/>
      <c r="G61" s="36"/>
      <c r="H61" s="36"/>
      <c r="I61" s="36"/>
      <c r="J61" s="36"/>
      <c r="K61" s="36"/>
      <c r="L61" s="36"/>
      <c r="M61" s="36"/>
      <c r="N61" s="36"/>
      <c r="O61" s="36"/>
    </row>
    <row r="62" spans="1:16" s="19" customFormat="1" ht="14.65" thickBot="1">
      <c r="A62" s="7" t="s">
        <v>132</v>
      </c>
      <c r="B62" s="25"/>
      <c r="C62" s="28">
        <v>11884</v>
      </c>
      <c r="D62" s="28">
        <v>20220.800000000003</v>
      </c>
      <c r="E62" s="28">
        <v>20460.800000000003</v>
      </c>
      <c r="F62" s="28">
        <v>20740.800000000003</v>
      </c>
      <c r="G62" s="28">
        <v>18340.800000000003</v>
      </c>
      <c r="H62" s="28">
        <v>18580.800000000003</v>
      </c>
      <c r="I62" s="28">
        <v>18340.800000000003</v>
      </c>
      <c r="J62" s="28">
        <v>18226.800000000003</v>
      </c>
      <c r="K62" s="28">
        <v>16988.800000000003</v>
      </c>
      <c r="L62" s="28">
        <v>16748.800000000003</v>
      </c>
      <c r="M62" s="28">
        <v>17248.800000000003</v>
      </c>
      <c r="N62" s="28">
        <v>10752</v>
      </c>
      <c r="O62" s="28">
        <v>208534</v>
      </c>
    </row>
    <row r="63" spans="1:16" s="19" customFormat="1" ht="14.65" thickBot="1">
      <c r="A63"/>
      <c r="B63" s="8"/>
      <c r="C63" s="28"/>
      <c r="D63" s="28"/>
      <c r="E63" s="28"/>
      <c r="F63" s="28"/>
      <c r="G63" s="28"/>
      <c r="H63" s="28"/>
      <c r="I63" s="28"/>
      <c r="J63" s="28"/>
      <c r="K63" s="28"/>
      <c r="L63" s="28"/>
      <c r="M63" s="28"/>
      <c r="N63" s="28"/>
      <c r="O63" s="28"/>
    </row>
  </sheetData>
  <pageMargins left="0.70866141732283472" right="0.70866141732283472" top="0.74803149606299213" bottom="0.74803149606299213" header="0.31496062992125984" footer="0.31496062992125984"/>
  <pageSetup paperSize="9" scale="42"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Q64"/>
  <sheetViews>
    <sheetView zoomScaleNormal="100" workbookViewId="0">
      <selection activeCell="N1" sqref="B1:N1048576"/>
    </sheetView>
  </sheetViews>
  <sheetFormatPr defaultRowHeight="14.25"/>
  <cols>
    <col min="1" max="1" width="47.5703125" bestFit="1" customWidth="1"/>
    <col min="2" max="2" width="7.140625" style="4" bestFit="1" customWidth="1"/>
    <col min="3" max="3" width="7.42578125" style="4" bestFit="1" customWidth="1"/>
    <col min="4" max="4" width="8.42578125" style="4" bestFit="1" customWidth="1"/>
    <col min="5" max="6" width="7.42578125" style="4" bestFit="1" customWidth="1"/>
    <col min="7" max="14" width="8.42578125" style="4" bestFit="1" customWidth="1"/>
    <col min="15" max="15" width="3" customWidth="1"/>
  </cols>
  <sheetData>
    <row r="1" spans="1:14">
      <c r="A1" s="1" t="s">
        <v>0</v>
      </c>
      <c r="B1" s="3"/>
    </row>
    <row r="2" spans="1:14">
      <c r="A2" s="1" t="s">
        <v>10</v>
      </c>
      <c r="B2" s="78">
        <v>12</v>
      </c>
      <c r="C2" s="78">
        <v>12</v>
      </c>
      <c r="D2" s="78">
        <v>12</v>
      </c>
      <c r="E2" s="78">
        <v>12</v>
      </c>
      <c r="F2" s="78">
        <v>12</v>
      </c>
      <c r="G2" s="78">
        <v>12</v>
      </c>
      <c r="H2" s="78">
        <v>12</v>
      </c>
      <c r="I2" s="78">
        <v>12</v>
      </c>
      <c r="J2" s="78">
        <v>12</v>
      </c>
      <c r="K2" s="78">
        <v>12</v>
      </c>
      <c r="L2" s="78">
        <v>12</v>
      </c>
      <c r="M2" s="78">
        <v>12</v>
      </c>
    </row>
    <row r="3" spans="1:14">
      <c r="A3" s="1" t="s">
        <v>384</v>
      </c>
      <c r="B3" s="78">
        <v>1</v>
      </c>
      <c r="C3" s="78">
        <v>2</v>
      </c>
      <c r="D3" s="78">
        <v>3</v>
      </c>
      <c r="E3" s="78">
        <v>4</v>
      </c>
      <c r="F3" s="78">
        <v>5</v>
      </c>
      <c r="G3" s="78">
        <v>6</v>
      </c>
      <c r="H3" s="78">
        <v>7</v>
      </c>
      <c r="I3" s="78">
        <v>8</v>
      </c>
      <c r="J3" s="78">
        <v>9</v>
      </c>
      <c r="K3" s="78">
        <v>10</v>
      </c>
      <c r="L3" s="78">
        <v>11</v>
      </c>
      <c r="M3" s="78">
        <v>12</v>
      </c>
    </row>
    <row r="4" spans="1:14">
      <c r="A4" s="1" t="s">
        <v>12</v>
      </c>
      <c r="B4" s="78">
        <f>IF('Income - Overall'!$AB$2&gt;='Income - OverallPY'!B3,'Income - Overall'!$AB$2,0)</f>
        <v>5</v>
      </c>
      <c r="C4" s="78">
        <f>IF('Income - Overall'!$AB$2&gt;='Income - OverallPY'!C3,'Income - Overall'!$AB$2,0)</f>
        <v>5</v>
      </c>
      <c r="D4" s="78">
        <f>IF('Income - Overall'!$AB$2&gt;='Income - OverallPY'!D3,'Income - Overall'!$AB$2,0)</f>
        <v>5</v>
      </c>
      <c r="E4" s="78">
        <f>IF('Income - Overall'!$AB$2&gt;='Income - OverallPY'!E3,'Income - Overall'!$AB$2,0)</f>
        <v>5</v>
      </c>
      <c r="F4" s="78">
        <f>IF('Income - Overall'!$AB$2&gt;='Income - OverallPY'!F3,'Income - Overall'!$AB$2,0)</f>
        <v>5</v>
      </c>
      <c r="G4" s="78">
        <f>IF('Income - Overall'!$AB$2&gt;='Income - OverallPY'!G3,'Income - Overall'!$AB$2,0)</f>
        <v>0</v>
      </c>
      <c r="H4" s="78">
        <f>IF('Income - Overall'!$AB$2&gt;='Income - OverallPY'!H3,'Income - Overall'!$AB$2,0)</f>
        <v>0</v>
      </c>
      <c r="I4" s="78">
        <f>IF('Income - Overall'!$AB$2&gt;='Income - OverallPY'!I3,'Income - Overall'!$AB$2,0)</f>
        <v>0</v>
      </c>
      <c r="J4" s="78">
        <f>IF('Income - Overall'!$AB$2&gt;='Income - OverallPY'!J3,'Income - Overall'!$AB$2,0)</f>
        <v>0</v>
      </c>
      <c r="K4" s="78">
        <f>IF('Income - Overall'!$AB$2&gt;='Income - OverallPY'!K3,'Income - Overall'!$AB$2,0)</f>
        <v>0</v>
      </c>
      <c r="L4" s="78">
        <f>IF('Income - Overall'!$AB$2&gt;='Income - OverallPY'!L3,'Income - Overall'!$AB$2,0)</f>
        <v>0</v>
      </c>
      <c r="M4" s="78">
        <f>IF('Income - Overall'!$AB$2&gt;='Income - OverallPY'!M3,'Income - Overall'!$AB$2,0)</f>
        <v>0</v>
      </c>
    </row>
    <row r="5" spans="1:14">
      <c r="A5" s="7"/>
      <c r="B5" s="7"/>
      <c r="C5" s="7"/>
      <c r="D5" s="7"/>
      <c r="E5" s="7"/>
      <c r="F5" s="7"/>
      <c r="G5" s="7"/>
      <c r="H5" s="7"/>
      <c r="I5" s="7"/>
      <c r="J5" s="7"/>
      <c r="K5" s="7"/>
      <c r="L5" s="7"/>
      <c r="M5" s="7"/>
      <c r="N5" s="7"/>
    </row>
    <row r="6" spans="1:14">
      <c r="A6" s="12"/>
      <c r="B6" s="12" t="s">
        <v>22</v>
      </c>
      <c r="C6" s="12" t="s">
        <v>23</v>
      </c>
      <c r="D6" s="12" t="s">
        <v>24</v>
      </c>
      <c r="E6" s="12" t="s">
        <v>25</v>
      </c>
      <c r="F6" s="12" t="s">
        <v>26</v>
      </c>
      <c r="G6" s="12" t="s">
        <v>27</v>
      </c>
      <c r="H6" s="12" t="s">
        <v>28</v>
      </c>
      <c r="I6" s="12" t="s">
        <v>29</v>
      </c>
      <c r="J6" s="12" t="s">
        <v>30</v>
      </c>
      <c r="K6" s="12" t="s">
        <v>31</v>
      </c>
      <c r="L6" s="12" t="s">
        <v>32</v>
      </c>
      <c r="M6" s="12" t="s">
        <v>33</v>
      </c>
      <c r="N6" s="12" t="s">
        <v>34</v>
      </c>
    </row>
    <row r="7" spans="1:14">
      <c r="A7" s="1" t="s">
        <v>44</v>
      </c>
      <c r="B7" s="12"/>
      <c r="C7" s="12"/>
      <c r="D7" s="12"/>
      <c r="E7" s="12"/>
      <c r="F7" s="12"/>
      <c r="G7" s="12"/>
      <c r="H7" s="12"/>
      <c r="I7" s="12"/>
      <c r="J7" s="12"/>
      <c r="K7" s="12"/>
      <c r="L7" s="12"/>
      <c r="M7" s="12"/>
      <c r="N7" s="12"/>
    </row>
    <row r="8" spans="1:14">
      <c r="A8" s="1" t="s">
        <v>45</v>
      </c>
      <c r="B8" s="12"/>
      <c r="C8" s="12"/>
      <c r="D8" s="12"/>
      <c r="E8" s="12"/>
      <c r="F8" s="12"/>
      <c r="G8" s="12"/>
      <c r="H8" s="12"/>
      <c r="I8" s="12"/>
      <c r="J8" s="12"/>
      <c r="K8" s="12"/>
      <c r="L8" s="12"/>
      <c r="M8" s="12"/>
      <c r="N8" s="12"/>
    </row>
    <row r="9" spans="1:14">
      <c r="A9" s="7" t="s">
        <v>46</v>
      </c>
    </row>
    <row r="10" spans="1:14">
      <c r="A10" s="15" t="s">
        <v>47</v>
      </c>
      <c r="B10" s="13">
        <f>'[1]Income - General'!C10+'[1]Income - Fabric'!C10+'[1]Income - FlowerFund'!C10+'[1]Income - SSchoolFund'!C10+'[1]Income - Guild'!C10+'[1]Income - Organ'!C10+'[1]Income - SfSFund'!C10+'[1]Income - Benevolent'!C10+'[1]Income - Friday'!C10</f>
        <v>5903.5</v>
      </c>
      <c r="C10" s="13">
        <f>'[1]Income - General'!D10+'[1]Income - Fabric'!D10+'[1]Income - FlowerFund'!D10+'[1]Income - SSchoolFund'!D10+'[1]Income - Guild'!D10+'[1]Income - Organ'!D10+'[1]Income - SfSFund'!D10+'[1]Income - Benevolent'!D10+'[1]Income - Friday'!D10</f>
        <v>5728.5</v>
      </c>
      <c r="D10" s="13">
        <f>'[1]Income - General'!E10+'[1]Income - Fabric'!E10+'[1]Income - FlowerFund'!E10+'[1]Income - SSchoolFund'!E10+'[1]Income - Guild'!E10+'[1]Income - Organ'!E10+'[1]Income - SfSFund'!E10+'[1]Income - Benevolent'!E10+'[1]Income - Friday'!E10</f>
        <v>5788.5</v>
      </c>
      <c r="E10" s="13">
        <f>'[1]Income - General'!F10+'[1]Income - Fabric'!F10+'[1]Income - FlowerFund'!F10+'[1]Income - SSchoolFund'!F10+'[1]Income - Guild'!F10+'[1]Income - Organ'!F10+'[1]Income - SfSFund'!F10+'[1]Income - Benevolent'!F10+'[1]Income - Friday'!F10</f>
        <v>7288</v>
      </c>
      <c r="F10" s="13">
        <f>'[1]Income - General'!G10+'[1]Income - Fabric'!G10+'[1]Income - FlowerFund'!G10+'[1]Income - SSchoolFund'!G10+'[1]Income - Guild'!G10+'[1]Income - Organ'!G10+'[1]Income - SfSFund'!G10+'[1]Income - Benevolent'!G10+'[1]Income - Friday'!G10</f>
        <v>6732.26</v>
      </c>
      <c r="G10" s="13">
        <f>'[1]Income - General'!H10+'[1]Income - Fabric'!H10+'[1]Income - FlowerFund'!H10+'[1]Income - SSchoolFund'!H10+'[1]Income - Guild'!H10+'[1]Income - Organ'!H10+'[1]Income - SfSFund'!H10+'[1]Income - Benevolent'!H10+'[1]Income - Friday'!H10</f>
        <v>6313</v>
      </c>
      <c r="H10" s="13">
        <f>'[1]Income - General'!I10+'[1]Income - Fabric'!I10+'[1]Income - FlowerFund'!I10+'[1]Income - SSchoolFund'!I10+'[1]Income - Guild'!I10+'[1]Income - Organ'!I10+'[1]Income - SfSFund'!I10+'[1]Income - Benevolent'!I10+'[1]Income - Friday'!I10</f>
        <v>6683</v>
      </c>
      <c r="I10" s="13">
        <f>'[1]Income - General'!J10+'[1]Income - Fabric'!J10+'[1]Income - FlowerFund'!J10+'[1]Income - SSchoolFund'!J10+'[1]Income - Guild'!J10+'[1]Income - Organ'!J10+'[1]Income - SfSFund'!J10+'[1]Income - Benevolent'!J10+'[1]Income - Friday'!J10</f>
        <v>6348</v>
      </c>
      <c r="J10" s="13">
        <f>'[1]Income - General'!K10+'[1]Income - Fabric'!K10+'[1]Income - FlowerFund'!K10+'[1]Income - SSchoolFund'!K10+'[1]Income - Guild'!K10+'[1]Income - Organ'!K10+'[1]Income - SfSFund'!K10+'[1]Income - Benevolent'!K10+'[1]Income - Friday'!K10</f>
        <v>6108</v>
      </c>
      <c r="K10" s="13">
        <f>'[1]Income - General'!L10+'[1]Income - Fabric'!L10+'[1]Income - FlowerFund'!L10+'[1]Income - SSchoolFund'!L10+'[1]Income - Guild'!L10+'[1]Income - Organ'!L10+'[1]Income - SfSFund'!L10+'[1]Income - Benevolent'!L10+'[1]Income - Friday'!L10</f>
        <v>6643</v>
      </c>
      <c r="L10" s="13">
        <f>'[1]Income - General'!M10+'[1]Income - Fabric'!M10+'[1]Income - FlowerFund'!M10+'[1]Income - SSchoolFund'!M10+'[1]Income - Guild'!M10+'[1]Income - Organ'!M10+'[1]Income - SfSFund'!M10+'[1]Income - Benevolent'!M10+'[1]Income - Friday'!M10</f>
        <v>5988</v>
      </c>
      <c r="M10" s="13">
        <f>'[1]Income - General'!N10+'[1]Income - Fabric'!N10+'[1]Income - FlowerFund'!N10+'[1]Income - SSchoolFund'!N10+'[1]Income - Guild'!N10+'[1]Income - Organ'!N10+'[1]Income - SfSFund'!N10+'[1]Income - Benevolent'!N10+'[1]Income - Friday'!N10</f>
        <v>7443</v>
      </c>
      <c r="N10" s="13">
        <f t="shared" ref="N10:N15" si="0">SUM(B10:M10)</f>
        <v>76966.760000000009</v>
      </c>
    </row>
    <row r="11" spans="1:14">
      <c r="A11" s="15" t="s">
        <v>48</v>
      </c>
      <c r="B11" s="13">
        <f>'[1]Income - General'!C11+'[1]Income - Fabric'!C11+'[1]Income - FlowerFund'!C11+'[1]Income - SSchoolFund'!C11+'[1]Income - Guild'!C11+'[1]Income - Organ'!C11+'[1]Income - SfSFund'!C11+'[1]Income - Benevolent'!C11+'[1]Income - Friday'!C11</f>
        <v>327</v>
      </c>
      <c r="C11" s="13">
        <f>'[1]Income - General'!D11+'[1]Income - Fabric'!D11+'[1]Income - FlowerFund'!D11+'[1]Income - SSchoolFund'!D11+'[1]Income - Guild'!D11+'[1]Income - Organ'!D11+'[1]Income - SfSFund'!D11+'[1]Income - Benevolent'!D11+'[1]Income - Friday'!D11</f>
        <v>367</v>
      </c>
      <c r="D11" s="13">
        <f>'[1]Income - General'!E11+'[1]Income - Fabric'!E11+'[1]Income - FlowerFund'!E11+'[1]Income - SSchoolFund'!E11+'[1]Income - Guild'!E11+'[1]Income - Organ'!E11+'[1]Income - SfSFund'!E11+'[1]Income - Benevolent'!E11+'[1]Income - Friday'!E11</f>
        <v>335</v>
      </c>
      <c r="E11" s="13">
        <f>'[1]Income - General'!F11+'[1]Income - Fabric'!F11+'[1]Income - FlowerFund'!F11+'[1]Income - SSchoolFund'!F11+'[1]Income - Guild'!F11+'[1]Income - Organ'!F11+'[1]Income - SfSFund'!F11+'[1]Income - Benevolent'!F11+'[1]Income - Friday'!F11</f>
        <v>449</v>
      </c>
      <c r="F11" s="13">
        <f>'[1]Income - General'!G11+'[1]Income - Fabric'!G11+'[1]Income - FlowerFund'!G11+'[1]Income - SSchoolFund'!G11+'[1]Income - Guild'!G11+'[1]Income - Organ'!G11+'[1]Income - SfSFund'!G11+'[1]Income - Benevolent'!G11+'[1]Income - Friday'!G11</f>
        <v>432</v>
      </c>
      <c r="G11" s="13">
        <f>'[1]Income - General'!H11+'[1]Income - Fabric'!H11+'[1]Income - FlowerFund'!H11+'[1]Income - SSchoolFund'!H11+'[1]Income - Guild'!H11+'[1]Income - Organ'!H11+'[1]Income - SfSFund'!H11+'[1]Income - Benevolent'!H11+'[1]Income - Friday'!H11</f>
        <v>540</v>
      </c>
      <c r="H11" s="13">
        <f>'[1]Income - General'!I11+'[1]Income - Fabric'!I11+'[1]Income - FlowerFund'!I11+'[1]Income - SSchoolFund'!I11+'[1]Income - Guild'!I11+'[1]Income - Organ'!I11+'[1]Income - SfSFund'!I11+'[1]Income - Benevolent'!I11+'[1]Income - Friday'!I11</f>
        <v>542</v>
      </c>
      <c r="I11" s="13">
        <f>'[1]Income - General'!J11+'[1]Income - Fabric'!J11+'[1]Income - FlowerFund'!J11+'[1]Income - SSchoolFund'!J11+'[1]Income - Guild'!J11+'[1]Income - Organ'!J11+'[1]Income - SfSFund'!J11+'[1]Income - Benevolent'!J11+'[1]Income - Friday'!J11</f>
        <v>482</v>
      </c>
      <c r="J11" s="13">
        <f>'[1]Income - General'!K11+'[1]Income - Fabric'!K11+'[1]Income - FlowerFund'!K11+'[1]Income - SSchoolFund'!K11+'[1]Income - Guild'!K11+'[1]Income - Organ'!K11+'[1]Income - SfSFund'!K11+'[1]Income - Benevolent'!K11+'[1]Income - Friday'!K11</f>
        <v>500</v>
      </c>
      <c r="K11" s="13">
        <f>'[1]Income - General'!L11+'[1]Income - Fabric'!L11+'[1]Income - FlowerFund'!L11+'[1]Income - SSchoolFund'!L11+'[1]Income - Guild'!L11+'[1]Income - Organ'!L11+'[1]Income - SfSFund'!L11+'[1]Income - Benevolent'!L11+'[1]Income - Friday'!L11</f>
        <v>477</v>
      </c>
      <c r="L11" s="13">
        <f>'[1]Income - General'!M11+'[1]Income - Fabric'!M11+'[1]Income - FlowerFund'!M11+'[1]Income - SSchoolFund'!M11+'[1]Income - Guild'!M11+'[1]Income - Organ'!M11+'[1]Income - SfSFund'!M11+'[1]Income - Benevolent'!M11+'[1]Income - Friday'!M11</f>
        <v>402</v>
      </c>
      <c r="M11" s="13">
        <f>'[1]Income - General'!N11+'[1]Income - Fabric'!N11+'[1]Income - FlowerFund'!N11+'[1]Income - SSchoolFund'!N11+'[1]Income - Guild'!N11+'[1]Income - Organ'!N11+'[1]Income - SfSFund'!N11+'[1]Income - Benevolent'!N11+'[1]Income - Friday'!N11</f>
        <v>490</v>
      </c>
      <c r="N11" s="13">
        <f t="shared" si="0"/>
        <v>5343</v>
      </c>
    </row>
    <row r="12" spans="1:14">
      <c r="A12" s="15" t="s">
        <v>49</v>
      </c>
      <c r="B12" s="13">
        <f>'[1]Income - General'!C12+'[1]Income - Fabric'!C12+'[1]Income - FlowerFund'!C12+'[1]Income - SSchoolFund'!C12+'[1]Income - Guild'!C12+'[1]Income - Organ'!C12+'[1]Income - SfSFund'!C12+'[1]Income - Benevolent'!C12+'[1]Income - Friday'!C12</f>
        <v>0</v>
      </c>
      <c r="C12" s="13">
        <f>'[1]Income - General'!D12+'[1]Income - Fabric'!D12+'[1]Income - FlowerFund'!D12+'[1]Income - SSchoolFund'!D12+'[1]Income - Guild'!D12+'[1]Income - Organ'!D12+'[1]Income - SfSFund'!D11+'[1]Income - Benevolent'!D12+'[1]Income - Friday'!D12</f>
        <v>70</v>
      </c>
      <c r="D12" s="13">
        <f>'[1]Income - General'!E12+'[1]Income - Fabric'!E12+'[1]Income - FlowerFund'!E12+'[1]Income - SSchoolFund'!E12+'[1]Income - Guild'!E12+'[1]Income - Organ'!E12+'[1]Income - SfSFund'!E11+'[1]Income - Benevolent'!E12+'[1]Income - Friday'!E12</f>
        <v>1500</v>
      </c>
      <c r="E12" s="13">
        <f>'[1]Income - General'!F12+'[1]Income - Fabric'!F12+'[1]Income - FlowerFund'!F12+'[1]Income - SSchoolFund'!F12+'[1]Income - Guild'!F12+'[1]Income - Organ'!F12+'[1]Income - SfSFund'!F11+'[1]Income - Benevolent'!F12+'[1]Income - Friday'!F12</f>
        <v>0</v>
      </c>
      <c r="F12" s="13">
        <f>'[1]Income - General'!G12+'[1]Income - Fabric'!G12+'[1]Income - FlowerFund'!G12+'[1]Income - SSchoolFund'!G12+'[1]Income - Guild'!G12+'[1]Income - Organ'!G12+'[1]Income - SfSFund'!G11+'[1]Income - Benevolent'!G12+'[1]Income - Friday'!G12</f>
        <v>0</v>
      </c>
      <c r="G12" s="13">
        <f>'[1]Income - General'!H12+'[1]Income - Fabric'!H12+'[1]Income - FlowerFund'!H12+'[1]Income - SSchoolFund'!H12+'[1]Income - Guild'!H12+'[1]Income - Organ'!H12+'[1]Income - SfSFund'!H11+'[1]Income - Benevolent'!H12+'[1]Income - Friday'!H12</f>
        <v>0</v>
      </c>
      <c r="H12" s="13">
        <f>'[1]Income - General'!I12+'[1]Income - Fabric'!I12+'[1]Income - FlowerFund'!I12+'[1]Income - SSchoolFund'!I12+'[1]Income - Guild'!I12+'[1]Income - Organ'!I12+'[1]Income - SfSFund'!I11+'[1]Income - Benevolent'!I12+'[1]Income - Friday'!I12</f>
        <v>0</v>
      </c>
      <c r="I12" s="13">
        <f>'[1]Income - General'!J12+'[1]Income - Fabric'!J12+'[1]Income - FlowerFund'!J12+'[1]Income - SSchoolFund'!J12+'[1]Income - Guild'!J12+'[1]Income - Organ'!J12+'[1]Income - SfSFund'!J11+'[1]Income - Benevolent'!J12+'[1]Income - Friday'!J12</f>
        <v>0</v>
      </c>
      <c r="J12" s="13">
        <f>'[1]Income - General'!K12+'[1]Income - Fabric'!K12+'[1]Income - FlowerFund'!K12+'[1]Income - SSchoolFund'!K12+'[1]Income - Guild'!K12+'[1]Income - Organ'!K12+'[1]Income - SfSFund'!K11+'[1]Income - Benevolent'!K12+'[1]Income - Friday'!K12</f>
        <v>0</v>
      </c>
      <c r="K12" s="13">
        <f>'[1]Income - General'!L12+'[1]Income - Fabric'!L12+'[1]Income - FlowerFund'!L12+'[1]Income - SSchoolFund'!L12+'[1]Income - Guild'!L12+'[1]Income - Organ'!L12+'[1]Income - SfSFund'!L11+'[1]Income - Benevolent'!L12+'[1]Income - Friday'!L12</f>
        <v>0</v>
      </c>
      <c r="L12" s="13">
        <f>'[1]Income - General'!M12+'[1]Income - Fabric'!M12+'[1]Income - FlowerFund'!M12+'[1]Income - SSchoolFund'!M12+'[1]Income - Guild'!M12+'[1]Income - Organ'!M12+'[1]Income - SfSFund'!M11+'[1]Income - Benevolent'!M12+'[1]Income - Friday'!M12</f>
        <v>0</v>
      </c>
      <c r="M12" s="13">
        <f>'[1]Income - General'!N12+'[1]Income - Fabric'!N12+'[1]Income - FlowerFund'!N12+'[1]Income - SSchoolFund'!N12+'[1]Income - Guild'!N12+'[1]Income - Organ'!N12+'[1]Income - SfSFund'!N11+'[1]Income - Benevolent'!N12+'[1]Income - Friday'!N12</f>
        <v>0</v>
      </c>
      <c r="N12" s="13">
        <f>SUM(B12:M12)</f>
        <v>1570</v>
      </c>
    </row>
    <row r="13" spans="1:14">
      <c r="A13" s="15" t="s">
        <v>50</v>
      </c>
      <c r="B13" s="13">
        <f>'[1]Income - General'!C13+'[1]Income - Fabric'!C13+'[1]Income - FlowerFund'!C13+'[1]Income - SSchoolFund'!C13+'[1]Income - Guild'!C13+'[1]Income - Organ'!C13+'[1]Income - SfSFund'!C13+'[1]Income - Benevolent'!C13+'[1]Income - Friday'!C13</f>
        <v>200</v>
      </c>
      <c r="C13" s="13">
        <f>'[1]Income - General'!D13+'[1]Income - Fabric'!D13+'[1]Income - FlowerFund'!D13+'[1]Income - SSchoolFund'!D13+'[1]Income - Guild'!D13+'[1]Income - Organ'!D13+'[1]Income - SfSFund'!D13+'[1]Income - Benevolent'!D13+'[1]Income - Friday'!D13</f>
        <v>350</v>
      </c>
      <c r="D13" s="13">
        <f>'[1]Income - General'!E13+'[1]Income - Fabric'!E13+'[1]Income - FlowerFund'!E13+'[1]Income - SSchoolFund'!E13+'[1]Income - Guild'!E13+'[1]Income - Organ'!E13+'[1]Income - SfSFund'!E13+'[1]Income - Benevolent'!E13+'[1]Income - Friday'!E13</f>
        <v>255</v>
      </c>
      <c r="E13" s="13">
        <f>'[1]Income - General'!F13+'[1]Income - Fabric'!F13+'[1]Income - FlowerFund'!F13+'[1]Income - SSchoolFund'!F13+'[1]Income - Guild'!F13+'[1]Income - Organ'!F13+'[1]Income - SfSFund'!F13+'[1]Income - Benevolent'!F13+'[1]Income - Friday'!F13</f>
        <v>400</v>
      </c>
      <c r="F13" s="13">
        <f>'[1]Income - General'!G13+'[1]Income - Fabric'!G13+'[1]Income - FlowerFund'!G13+'[1]Income - SSchoolFund'!G13+'[1]Income - Guild'!G13+'[1]Income - Organ'!G13+'[1]Income - SfSFund'!G13+'[1]Income - Benevolent'!G13+'[1]Income - Friday'!G13</f>
        <v>320</v>
      </c>
      <c r="G13" s="13">
        <f>'[1]Income - General'!H13+'[1]Income - Fabric'!H13+'[1]Income - FlowerFund'!H13+'[1]Income - SSchoolFund'!H13+'[1]Income - Guild'!H13+'[1]Income - Organ'!H13+'[1]Income - SfSFund'!H13+'[1]Income - Benevolent'!H13+'[1]Income - Friday'!H13</f>
        <v>320</v>
      </c>
      <c r="H13" s="13">
        <f>'[1]Income - General'!I13+'[1]Income - Fabric'!I13+'[1]Income - FlowerFund'!I13+'[1]Income - SSchoolFund'!I13+'[1]Income - Guild'!I13+'[1]Income - Organ'!I13+'[1]Income - SfSFund'!I13+'[1]Income - Benevolent'!I13+'[1]Income - Friday'!I13</f>
        <v>275</v>
      </c>
      <c r="I13" s="13">
        <f>'[1]Income - General'!J13+'[1]Income - Fabric'!J13+'[1]Income - FlowerFund'!J13+'[1]Income - SSchoolFund'!J13+'[1]Income - Guild'!J13+'[1]Income - Organ'!J13+'[1]Income - SfSFund'!J13+'[1]Income - Benevolent'!J13+'[1]Income - Friday'!J13</f>
        <v>45</v>
      </c>
      <c r="J13" s="13">
        <f>'[1]Income - General'!K13+'[1]Income - Fabric'!K13+'[1]Income - FlowerFund'!K13+'[1]Income - SSchoolFund'!K13+'[1]Income - Guild'!K13+'[1]Income - Organ'!K13+'[1]Income - SfSFund'!K13+'[1]Income - Benevolent'!K13+'[1]Income - Friday'!K13</f>
        <v>90</v>
      </c>
      <c r="K13" s="13">
        <f>'[1]Income - General'!L13+'[1]Income - Fabric'!L13+'[1]Income - FlowerFund'!L13+'[1]Income - SSchoolFund'!L13+'[1]Income - Guild'!L13+'[1]Income - Organ'!L13+'[1]Income - SfSFund'!L13+'[1]Income - Benevolent'!L13+'[1]Income - Friday'!L13</f>
        <v>60</v>
      </c>
      <c r="L13" s="13">
        <f>'[1]Income - General'!M13+'[1]Income - Fabric'!M13+'[1]Income - FlowerFund'!M13+'[1]Income - SSchoolFund'!M13+'[1]Income - Guild'!M13+'[1]Income - Organ'!M13+'[1]Income - SfSFund'!M13+'[1]Income - Benevolent'!M13+'[1]Income - Friday'!M13</f>
        <v>60</v>
      </c>
      <c r="M13" s="13">
        <f>'[1]Income - General'!N13+'[1]Income - Fabric'!N13+'[1]Income - FlowerFund'!N13+'[1]Income - SSchoolFund'!N13+'[1]Income - Guild'!N13+'[1]Income - Organ'!N13+'[1]Income - SfSFund'!N13+'[1]Income - Benevolent'!N13+'[1]Income - Friday'!N13</f>
        <v>75</v>
      </c>
      <c r="N13" s="13">
        <f t="shared" si="0"/>
        <v>2450</v>
      </c>
    </row>
    <row r="14" spans="1:14">
      <c r="A14" s="15" t="s">
        <v>51</v>
      </c>
      <c r="B14" s="13">
        <f>'[1]Income - General'!C14+'[1]Income - Fabric'!C14+'[1]Income - FlowerFund'!C14+'[1]Income - SSchoolFund'!C14+'[1]Income - Guild'!C14+'[1]Income - Organ'!C14+'[1]Income - SfSFund'!C14+'[1]Income - Benevolent'!C14+'[1]Income - Friday'!C14</f>
        <v>323.58</v>
      </c>
      <c r="C14" s="13">
        <f>'[1]Income - General'!D14+'[1]Income - Fabric'!D14+'[1]Income - FlowerFund'!D14+'[1]Income - SSchoolFund'!D14+'[1]Income - Guild'!D14+'[1]Income - Organ'!D14+'[1]Income - SfSFund'!D14+'[1]Income - Benevolent'!D14+'[1]Income - Friday'!D14</f>
        <v>374.95</v>
      </c>
      <c r="D14" s="13">
        <f>'[1]Income - General'!E14+'[1]Income - Fabric'!E14+'[1]Income - FlowerFund'!E14+'[1]Income - SSchoolFund'!E14+'[1]Income - Guild'!E14+'[1]Income - Organ'!E14+'[1]Income - SfSFund'!E14+'[1]Income - Benevolent'!E14+'[1]Income - Friday'!E14</f>
        <v>538.1</v>
      </c>
      <c r="E14" s="13">
        <f>'[1]Income - General'!F14+'[1]Income - Fabric'!F14+'[1]Income - FlowerFund'!F14+'[1]Income - SSchoolFund'!F14+'[1]Income - Guild'!F14+'[1]Income - Organ'!F14+'[1]Income - SfSFund'!F14+'[1]Income - Benevolent'!F14+'[1]Income - Friday'!F14</f>
        <v>672.65</v>
      </c>
      <c r="F14" s="13">
        <f>'[1]Income - General'!G14+'[1]Income - Fabric'!G14+'[1]Income - FlowerFund'!G14+'[1]Income - SSchoolFund'!G14+'[1]Income - Guild'!G14+'[1]Income - Organ'!G14+'[1]Income - SfSFund'!G14+'[1]Income - Benevolent'!G14+'[1]Income - Friday'!G14</f>
        <v>433.16</v>
      </c>
      <c r="G14" s="13">
        <f>'[1]Income - General'!H14+'[1]Income - Fabric'!H14+'[1]Income - FlowerFund'!H14+'[1]Income - SSchoolFund'!H14+'[1]Income - Guild'!H14+'[1]Income - Organ'!H14+'[1]Income - SfSFund'!H14+'[1]Income - Benevolent'!H14+'[1]Income - Friday'!H14</f>
        <v>484.66</v>
      </c>
      <c r="H14" s="13">
        <f>'[1]Income - General'!I14+'[1]Income - Fabric'!I14+'[1]Income - FlowerFund'!I14+'[1]Income - SSchoolFund'!I14+'[1]Income - Guild'!I14+'[1]Income - Organ'!I14+'[1]Income - SfSFund'!I14+'[1]Income - Benevolent'!I14+'[1]Income - Friday'!I14</f>
        <v>692.4</v>
      </c>
      <c r="I14" s="13">
        <f>'[1]Income - General'!J14+'[1]Income - Fabric'!J14+'[1]Income - FlowerFund'!J14+'[1]Income - SSchoolFund'!J14+'[1]Income - Guild'!J14+'[1]Income - Organ'!J14+'[1]Income - SfSFund'!J14+'[1]Income - Benevolent'!J14+'[1]Income - Friday'!J14</f>
        <v>776.08</v>
      </c>
      <c r="J14" s="13">
        <f>'[1]Income - General'!K14+'[1]Income - Fabric'!K14+'[1]Income - FlowerFund'!K14+'[1]Income - SSchoolFund'!K14+'[1]Income - Guild'!K14+'[1]Income - Organ'!K14+'[1]Income - SfSFund'!K14+'[1]Income - Benevolent'!K14+'[1]Income - Friday'!K14</f>
        <v>672.5</v>
      </c>
      <c r="K14" s="13">
        <f>'[1]Income - General'!L14+'[1]Income - Fabric'!L14+'[1]Income - FlowerFund'!L14+'[1]Income - SSchoolFund'!L14+'[1]Income - Guild'!L14+'[1]Income - Organ'!L14+'[1]Income - SfSFund'!L14+'[1]Income - Benevolent'!L14+'[1]Income - Friday'!L14</f>
        <v>669.8</v>
      </c>
      <c r="L14" s="13">
        <f>'[1]Income - General'!M14+'[1]Income - Fabric'!M14+'[1]Income - FlowerFund'!M14+'[1]Income - SSchoolFund'!M14+'[1]Income - Guild'!M14+'[1]Income - Organ'!M14+'[1]Income - SfSFund'!M14+'[1]Income - Benevolent'!M14+'[1]Income - Friday'!M14</f>
        <v>615.37</v>
      </c>
      <c r="M14" s="13">
        <f>'[1]Income - General'!N14+'[1]Income - Fabric'!N14+'[1]Income - FlowerFund'!N14+'[1]Income - SSchoolFund'!N14+'[1]Income - Guild'!N14+'[1]Income - Organ'!N14+'[1]Income - SfSFund'!N14+'[1]Income - Benevolent'!N14+'[1]Income - Friday'!N14</f>
        <v>618</v>
      </c>
      <c r="N14" s="13">
        <f t="shared" si="0"/>
        <v>6871.25</v>
      </c>
    </row>
    <row r="15" spans="1:14">
      <c r="A15" s="15" t="s">
        <v>52</v>
      </c>
      <c r="B15" s="13">
        <f>'[1]Income - General'!C15+'[1]Income - Fabric'!C15+'[1]Income - FlowerFund'!C15+'[1]Income - SSchoolFund'!C15+'[1]Income - Guild'!C15+'[1]Income - Organ'!C15+'[1]Income - SfSFund'!C15+'[1]Income - Benevolent'!C15+'[1]Income - Friday'!C15</f>
        <v>24.59</v>
      </c>
      <c r="C15" s="13">
        <f>'[1]Income - General'!D15+'[1]Income - Fabric'!D15+'[1]Income - FlowerFund'!D15+'[1]Income - SSchoolFund'!D15+'[1]Income - Guild'!D15+'[1]Income - Organ'!D15+'[1]Income - SfSFund'!D15+'[1]Income - Benevolent'!D15+'[1]Income - Friday'!D15</f>
        <v>424.58</v>
      </c>
      <c r="D15" s="13">
        <f>'[1]Income - General'!E15+'[1]Income - Fabric'!E15+'[1]Income - FlowerFund'!E15+'[1]Income - SSchoolFund'!E15+'[1]Income - Guild'!E15+'[1]Income - Organ'!E15+'[1]Income - SfSFund'!E15+'[1]Income - Benevolent'!E15+'[1]Income - Friday'!E15</f>
        <v>0</v>
      </c>
      <c r="E15" s="13">
        <f>'[1]Income - General'!F15+'[1]Income - Fabric'!F15+'[1]Income - FlowerFund'!F15+'[1]Income - SSchoolFund'!F15+'[1]Income - Guild'!F15+'[1]Income - Organ'!F15+'[1]Income - SfSFund'!F15+'[1]Income - Benevolent'!F15+'[1]Income - Friday'!F15</f>
        <v>69.67</v>
      </c>
      <c r="F15" s="13">
        <f>'[1]Income - General'!G15+'[1]Income - Fabric'!G15+'[1]Income - FlowerFund'!G15+'[1]Income - SSchoolFund'!G15+'[1]Income - Guild'!G15+'[1]Income - Organ'!G15+'[1]Income - SfSFund'!G15+'[1]Income - Benevolent'!G15+'[1]Income - Friday'!G15</f>
        <v>3058.98</v>
      </c>
      <c r="G15" s="13">
        <f>'[1]Income - General'!H15+'[1]Income - Fabric'!H15+'[1]Income - FlowerFund'!H15+'[1]Income - SSchoolFund'!H15+'[1]Income - Guild'!H15+'[1]Income - Organ'!H15+'[1]Income - SfSFund'!H15+'[1]Income - Benevolent'!H15+'[1]Income - Friday'!H15</f>
        <v>159.66</v>
      </c>
      <c r="H15" s="13">
        <f>'[1]Income - General'!I15+'[1]Income - Fabric'!I15+'[1]Income - FlowerFund'!I15+'[1]Income - SSchoolFund'!I15+'[1]Income - Guild'!I15+'[1]Income - Organ'!I15+'[1]Income - SfSFund'!I15+'[1]Income - Benevolent'!I15+'[1]Income - Friday'!I15</f>
        <v>49.83</v>
      </c>
      <c r="I15" s="13">
        <f>'[1]Income - General'!J15+'[1]Income - Fabric'!J15+'[1]Income - FlowerFund'!J15+'[1]Income - SSchoolFund'!J15+'[1]Income - Guild'!J15+'[1]Income - Organ'!J15+'[1]Income - SfSFund'!J15+'[1]Income - Benevolent'!J15+'[1]Income - Friday'!J15</f>
        <v>14.75</v>
      </c>
      <c r="J15" s="13">
        <f>'[1]Income - General'!K15+'[1]Income - Fabric'!K15+'[1]Income - FlowerFund'!K15+'[1]Income - SSchoolFund'!K15+'[1]Income - Guild'!K15+'[1]Income - Organ'!K15+'[1]Income - SfSFund'!K15+'[1]Income - Benevolent'!K15+'[1]Income - Friday'!K15</f>
        <v>19.66</v>
      </c>
      <c r="K15" s="13">
        <f>'[1]Income - General'!L15+'[1]Income - Fabric'!L15+'[1]Income - FlowerFund'!L15+'[1]Income - SSchoolFund'!L15+'[1]Income - Guild'!L15+'[1]Income - Organ'!L15+'[1]Income - SfSFund'!L15+'[1]Income - Benevolent'!L15+'[1]Income - Friday'!L15</f>
        <v>14.67</v>
      </c>
      <c r="L15" s="13">
        <f>'[1]Income - General'!M15+'[1]Income - Fabric'!M15+'[1]Income - FlowerFund'!M15+'[1]Income - SSchoolFund'!M15+'[1]Income - Guild'!M15+'[1]Income - Organ'!M15+'[1]Income - SfSFund'!M15+'[1]Income - Benevolent'!M15+'[1]Income - Friday'!M15</f>
        <v>132.47999999999999</v>
      </c>
      <c r="M15" s="13">
        <f>'[1]Income - General'!N15+'[1]Income - Fabric'!N15+'[1]Income - FlowerFund'!N15+'[1]Income - SSchoolFund'!N15+'[1]Income - Guild'!N15+'[1]Income - Organ'!N15+'[1]Income - SfSFund'!N15+'[1]Income - Benevolent'!N15+'[1]Income - Friday'!N15</f>
        <v>0</v>
      </c>
      <c r="N15" s="13">
        <f t="shared" si="0"/>
        <v>3968.8699999999994</v>
      </c>
    </row>
    <row r="16" spans="1:14">
      <c r="A16" s="7" t="s">
        <v>53</v>
      </c>
      <c r="B16" s="26">
        <f t="shared" ref="B16:N16" si="1">SUM(B10:B15)</f>
        <v>6778.67</v>
      </c>
      <c r="C16" s="26">
        <f t="shared" si="1"/>
        <v>7315.03</v>
      </c>
      <c r="D16" s="26">
        <f t="shared" si="1"/>
        <v>8416.6</v>
      </c>
      <c r="E16" s="26">
        <f t="shared" si="1"/>
        <v>8879.32</v>
      </c>
      <c r="F16" s="26">
        <f t="shared" si="1"/>
        <v>10976.4</v>
      </c>
      <c r="G16" s="26">
        <f t="shared" si="1"/>
        <v>7817.32</v>
      </c>
      <c r="H16" s="26">
        <f t="shared" si="1"/>
        <v>8242.23</v>
      </c>
      <c r="I16" s="26">
        <f t="shared" si="1"/>
        <v>7665.83</v>
      </c>
      <c r="J16" s="26">
        <f t="shared" si="1"/>
        <v>7390.16</v>
      </c>
      <c r="K16" s="26">
        <f t="shared" si="1"/>
        <v>7864.47</v>
      </c>
      <c r="L16" s="26">
        <f t="shared" si="1"/>
        <v>7197.8499999999995</v>
      </c>
      <c r="M16" s="26">
        <f t="shared" si="1"/>
        <v>8626</v>
      </c>
      <c r="N16" s="26">
        <f t="shared" si="1"/>
        <v>97169.88</v>
      </c>
    </row>
    <row r="17" spans="1:14">
      <c r="B17" s="30"/>
      <c r="C17" s="30"/>
      <c r="D17" s="30"/>
      <c r="E17" s="30"/>
      <c r="F17" s="30"/>
      <c r="G17" s="30"/>
      <c r="H17" s="30"/>
      <c r="I17" s="30"/>
      <c r="J17" s="30"/>
      <c r="K17" s="30"/>
      <c r="L17" s="30"/>
      <c r="M17" s="30"/>
      <c r="N17" s="30"/>
    </row>
    <row r="18" spans="1:14">
      <c r="A18" s="7" t="s">
        <v>54</v>
      </c>
      <c r="B18" s="30"/>
      <c r="C18" s="30"/>
      <c r="D18" s="30"/>
      <c r="E18" s="30"/>
      <c r="F18" s="30"/>
      <c r="G18" s="30"/>
      <c r="H18" s="30"/>
      <c r="I18" s="30"/>
      <c r="J18" s="30"/>
      <c r="K18" s="30"/>
      <c r="L18" s="30"/>
      <c r="M18" s="30"/>
      <c r="N18" s="30"/>
    </row>
    <row r="19" spans="1:14">
      <c r="A19" s="15" t="s">
        <v>47</v>
      </c>
      <c r="B19" s="13">
        <f>'[1]Income - General'!C19+'[1]Income - Fabric'!C19+'[1]Income - FlowerFund'!C19+'[1]Income - SSchoolFund'!C19+'[1]Income - Guild'!C19+'[1]Income - Organ'!C19+'[1]Income - SfSFund'!C19+'[1]Income - Benevolent'!C19+'[1]Income - Friday'!C19</f>
        <v>1748</v>
      </c>
      <c r="C19" s="13">
        <f>'[1]Income - General'!D19+'[1]Income - Fabric'!D19+'[1]Income - FlowerFund'!D19+'[1]Income - SSchoolFund'!D19+'[1]Income - Guild'!D19+'[1]Income - Organ'!D19+'[1]Income - SfSFund'!D19+'[1]Income - Benevolent'!D19+'[1]Income - Friday'!D19</f>
        <v>1398</v>
      </c>
      <c r="D19" s="13">
        <f>'[1]Income - General'!E19+'[1]Income - Fabric'!E19+'[1]Income - FlowerFund'!E19+'[1]Income - SSchoolFund'!E19+'[1]Income - Guild'!E19+'[1]Income - Organ'!E19+'[1]Income - SfSFund'!E19+'[1]Income - Benevolent'!E19+'[1]Income - Friday'!E19</f>
        <v>1403</v>
      </c>
      <c r="E19" s="13">
        <f>'[1]Income - General'!F19+'[1]Income - Fabric'!F19+'[1]Income - FlowerFund'!F19+'[1]Income - SSchoolFund'!F19+'[1]Income - Guild'!F19+'[1]Income - Organ'!F19+'[1]Income - SfSFund'!F19+'[1]Income - Benevolent'!F19+'[1]Income - Friday'!F19</f>
        <v>1663</v>
      </c>
      <c r="F19" s="13">
        <f>'[1]Income - General'!G19+'[1]Income - Fabric'!G19+'[1]Income - FlowerFund'!G19+'[1]Income - SSchoolFund'!G19+'[1]Income - Guild'!G19+'[1]Income - Organ'!G19+'[1]Income - SfSFund'!G19+'[1]Income - Benevolent'!G19+'[1]Income - Friday'!G19</f>
        <v>1303</v>
      </c>
      <c r="G19" s="13">
        <f>'[1]Income - General'!H19+'[1]Income - Fabric'!H19+'[1]Income - FlowerFund'!H19+'[1]Income - SSchoolFund'!H19+'[1]Income - Guild'!H19+'[1]Income - Organ'!H19+'[1]Income - SfSFund'!H19+'[1]Income - Benevolent'!H19+'[1]Income - Friday'!H19</f>
        <v>1303</v>
      </c>
      <c r="H19" s="13">
        <f>'[1]Income - General'!I19+'[1]Income - Fabric'!I19+'[1]Income - FlowerFund'!I19+'[1]Income - SSchoolFund'!I19+'[1]Income - Guild'!I19+'[1]Income - Organ'!I19+'[1]Income - SfSFund'!I19+'[1]Income - Benevolent'!I19+'[1]Income - Friday'!I19</f>
        <v>1663</v>
      </c>
      <c r="I19" s="13">
        <f>'[1]Income - General'!J19+'[1]Income - Fabric'!J19+'[1]Income - FlowerFund'!J19+'[1]Income - SSchoolFund'!J19+'[1]Income - Guild'!J19+'[1]Income - Organ'!J19+'[1]Income - SfSFund'!J19+'[1]Income - Benevolent'!J19+'[1]Income - Friday'!J19</f>
        <v>1383</v>
      </c>
      <c r="J19" s="13">
        <f>'[1]Income - General'!K19+'[1]Income - Fabric'!K19+'[1]Income - FlowerFund'!K19+'[1]Income - SSchoolFund'!K19+'[1]Income - Guild'!K19+'[1]Income - Organ'!K19+'[1]Income - SfSFund'!K19+'[1]Income - Benevolent'!K19+'[1]Income - Friday'!K19</f>
        <v>1338</v>
      </c>
      <c r="K19" s="13">
        <f>'[1]Income - General'!L19+'[1]Income - Fabric'!L19+'[1]Income - FlowerFund'!L19+'[1]Income - SSchoolFund'!L19+'[1]Income - Guild'!L19+'[1]Income - Organ'!L19+'[1]Income - SfSFund'!L19+'[1]Income - Benevolent'!L19+'[1]Income - Friday'!L19</f>
        <v>1653</v>
      </c>
      <c r="L19" s="13">
        <f>'[1]Income - General'!M19+'[1]Income - Fabric'!M19+'[1]Income - FlowerFund'!M19+'[1]Income - SSchoolFund'!M19+'[1]Income - Guild'!M19+'[1]Income - Organ'!M19+'[1]Income - SfSFund'!M19+'[1]Income - Benevolent'!M19+'[1]Income - Friday'!M19</f>
        <v>2011.5</v>
      </c>
      <c r="M19" s="13">
        <f>'[1]Income - General'!N19+'[1]Income - Fabric'!N19+'[1]Income - FlowerFund'!N19+'[1]Income - SSchoolFund'!N19+'[1]Income - Guild'!N19+'[1]Income - Organ'!N19+'[1]Income - SfSFund'!N19+'[1]Income - Benevolent'!N19+'[1]Income - Friday'!N19</f>
        <v>1288</v>
      </c>
      <c r="N19" s="13">
        <f>SUM(B19:M19)</f>
        <v>18154.5</v>
      </c>
    </row>
    <row r="20" spans="1:14">
      <c r="A20" s="15" t="s">
        <v>48</v>
      </c>
      <c r="B20" s="13">
        <f>'[1]Income - General'!C20+'[1]Income - Fabric'!C20+'[1]Income - FlowerFund'!C20+'[1]Income - SSchoolFund'!C20+'[1]Income - Guild'!C20+'[1]Income - Organ'!C20+'[1]Income - SfSFund'!C20+'[1]Income - Benevolent'!C20+'[1]Income - Friday'!C20</f>
        <v>518.5</v>
      </c>
      <c r="C20" s="13">
        <f>'[1]Income - General'!D20+'[1]Income - Fabric'!D20+'[1]Income - FlowerFund'!D20+'[1]Income - SSchoolFund'!D20+'[1]Income - Guild'!D20+'[1]Income - Organ'!D20+'[1]Income - SfSFund'!D20+'[1]Income - Benevolent'!D20+'[1]Income - Friday'!D20</f>
        <v>542.5</v>
      </c>
      <c r="D20" s="13">
        <f>'[1]Income - General'!E20+'[1]Income - Fabric'!E20+'[1]Income - FlowerFund'!E20+'[1]Income - SSchoolFund'!E20+'[1]Income - Guild'!E20+'[1]Income - Organ'!E20+'[1]Income - SfSFund'!E20+'[1]Income - Benevolent'!E20+'[1]Income - Friday'!E20</f>
        <v>512.5</v>
      </c>
      <c r="E20" s="13">
        <f>'[1]Income - General'!F20+'[1]Income - Fabric'!F20+'[1]Income - FlowerFund'!F20+'[1]Income - SSchoolFund'!F20+'[1]Income - Guild'!F20+'[1]Income - Organ'!F20+'[1]Income - SfSFund'!F20+'[1]Income - Benevolent'!F20+'[1]Income - Friday'!F20</f>
        <v>512.5</v>
      </c>
      <c r="F20" s="13">
        <f>'[1]Income - General'!G20+'[1]Income - Fabric'!G20+'[1]Income - FlowerFund'!G20+'[1]Income - SSchoolFund'!G20+'[1]Income - Guild'!G20+'[1]Income - Organ'!G20+'[1]Income - SfSFund'!G20+'[1]Income - Benevolent'!G20+'[1]Income - Friday'!G20</f>
        <v>518.5</v>
      </c>
      <c r="G20" s="13">
        <f>'[1]Income - General'!H20+'[1]Income - Fabric'!H20+'[1]Income - FlowerFund'!H20+'[1]Income - SSchoolFund'!H20+'[1]Income - Guild'!H20+'[1]Income - Organ'!H20+'[1]Income - SfSFund'!H20+'[1]Income - Benevolent'!H20+'[1]Income - Friday'!H20</f>
        <v>512.5</v>
      </c>
      <c r="H20" s="13">
        <f>'[1]Income - General'!I20+'[1]Income - Fabric'!I20+'[1]Income - FlowerFund'!I20+'[1]Income - SSchoolFund'!I20+'[1]Income - Guild'!I20+'[1]Income - Organ'!I20+'[1]Income - SfSFund'!I20+'[1]Income - Benevolent'!I20+'[1]Income - Friday'!I20</f>
        <v>552.5</v>
      </c>
      <c r="I20" s="13">
        <f>'[1]Income - General'!J20+'[1]Income - Fabric'!J20+'[1]Income - FlowerFund'!J20+'[1]Income - SSchoolFund'!J20+'[1]Income - Guild'!J20+'[1]Income - Organ'!J20+'[1]Income - SfSFund'!J20+'[1]Income - Benevolent'!J20+'[1]Income - Friday'!J20</f>
        <v>568.5</v>
      </c>
      <c r="J20" s="13">
        <f>'[1]Income - General'!K20+'[1]Income - Fabric'!K20+'[1]Income - FlowerFund'!K20+'[1]Income - SSchoolFund'!K20+'[1]Income - Guild'!K20+'[1]Income - Organ'!K20+'[1]Income - SfSFund'!K20+'[1]Income - Benevolent'!K20+'[1]Income - Friday'!K20</f>
        <v>662.5</v>
      </c>
      <c r="K20" s="13">
        <f>'[1]Income - General'!L20+'[1]Income - Fabric'!L20+'[1]Income - FlowerFund'!L20+'[1]Income - SSchoolFund'!L20+'[1]Income - Guild'!L20+'[1]Income - Organ'!L20+'[1]Income - SfSFund'!L20+'[1]Income - Benevolent'!L20+'[1]Income - Friday'!L20</f>
        <v>683.5</v>
      </c>
      <c r="L20" s="13">
        <f>'[1]Income - General'!M20+'[1]Income - Fabric'!M20+'[1]Income - FlowerFund'!M20+'[1]Income - SSchoolFund'!M20+'[1]Income - Guild'!M20+'[1]Income - Organ'!M20+'[1]Income - SfSFund'!M20+'[1]Income - Benevolent'!M20+'[1]Income - Friday'!M20</f>
        <v>464</v>
      </c>
      <c r="M20" s="13">
        <f>'[1]Income - General'!N20+'[1]Income - Fabric'!N20+'[1]Income - FlowerFund'!N20+'[1]Income - SSchoolFund'!N20+'[1]Income - Guild'!N20+'[1]Income - Organ'!N20+'[1]Income - SfSFund'!N20+'[1]Income - Benevolent'!N20+'[1]Income - Friday'!N20</f>
        <v>674.31</v>
      </c>
      <c r="N20" s="13">
        <f>SUM(B20:M20)</f>
        <v>6722.3099999999995</v>
      </c>
    </row>
    <row r="21" spans="1:14">
      <c r="A21" s="15" t="s">
        <v>49</v>
      </c>
      <c r="B21" s="13">
        <f>'[1]Income - General'!C21+'[1]Income - Fabric'!C21+'[1]Income - FlowerFund'!C21+'[1]Income - SSchoolFund'!C21+'[1]Income - Guild'!C21+'[1]Income - Organ'!C21+'[1]Income - SfSFund'!C21+'[1]Income - Benevolent'!C21+'[1]Income - Friday'!C21</f>
        <v>180</v>
      </c>
      <c r="C21" s="13">
        <f>'[1]Income - General'!D21+'[1]Income - Fabric'!D21+'[1]Income - FlowerFund'!D21+'[1]Income - SSchoolFund'!D21+'[1]Income - Guild'!D21+'[1]Income - Organ'!D21+'[1]Income - SfSFund'!D21+'[1]Income - Benevolent'!D21+'[1]Income - Friday'!D21</f>
        <v>1559.15</v>
      </c>
      <c r="D21" s="13">
        <f>'[1]Income - General'!E21+'[1]Income - Fabric'!E21+'[1]Income - FlowerFund'!E21+'[1]Income - SSchoolFund'!E21+'[1]Income - Guild'!E21+'[1]Income - Organ'!E21+'[1]Income - SfSFund'!E21+'[1]Income - Benevolent'!E21+'[1]Income - Friday'!E21</f>
        <v>20</v>
      </c>
      <c r="E21" s="13">
        <f>'[1]Income - General'!F21+'[1]Income - Fabric'!F21+'[1]Income - FlowerFund'!F21+'[1]Income - SSchoolFund'!F21+'[1]Income - Guild'!F21+'[1]Income - Organ'!F21+'[1]Income - SfSFund'!F21+'[1]Income - Benevolent'!F21+'[1]Income - Friday'!F21</f>
        <v>0</v>
      </c>
      <c r="F21" s="13">
        <f>'[1]Income - General'!G21+'[1]Income - Fabric'!G21+'[1]Income - FlowerFund'!G21+'[1]Income - SSchoolFund'!G21+'[1]Income - Guild'!G21+'[1]Income - Organ'!G21+'[1]Income - SfSFund'!G21+'[1]Income - Benevolent'!G21+'[1]Income - Friday'!G21</f>
        <v>50</v>
      </c>
      <c r="G21" s="13">
        <f>'[1]Income - General'!H21+'[1]Income - Fabric'!H21+'[1]Income - FlowerFund'!H21+'[1]Income - SSchoolFund'!H21+'[1]Income - Guild'!H21+'[1]Income - Organ'!H21+'[1]Income - SfSFund'!H21+'[1]Income - Benevolent'!H21+'[1]Income - Friday'!H21</f>
        <v>0</v>
      </c>
      <c r="H21" s="13">
        <f>'[1]Income - General'!I21+'[1]Income - Fabric'!I21+'[1]Income - FlowerFund'!I21+'[1]Income - SSchoolFund'!I21+'[1]Income - Guild'!I21+'[1]Income - Organ'!I21+'[1]Income - SfSFund'!I21+'[1]Income - Benevolent'!I21+'[1]Income - Friday'!I21</f>
        <v>0</v>
      </c>
      <c r="I21" s="13">
        <f>'[1]Income - General'!J21+'[1]Income - Fabric'!J21+'[1]Income - FlowerFund'!J21+'[1]Income - SSchoolFund'!J21+'[1]Income - Guild'!J21+'[1]Income - Organ'!J21+'[1]Income - SfSFund'!J21+'[1]Income - Benevolent'!J21+'[1]Income - Friday'!J21</f>
        <v>0</v>
      </c>
      <c r="J21" s="13">
        <f>'[1]Income - General'!K21+'[1]Income - Fabric'!K21+'[1]Income - FlowerFund'!K21+'[1]Income - SSchoolFund'!K21+'[1]Income - Guild'!K21+'[1]Income - Organ'!K21+'[1]Income - SfSFund'!K21+'[1]Income - Benevolent'!K21+'[1]Income - Friday'!K21</f>
        <v>345</v>
      </c>
      <c r="K21" s="13">
        <f>'[1]Income - General'!L21+'[1]Income - Fabric'!L21+'[1]Income - FlowerFund'!L21+'[1]Income - SSchoolFund'!L21+'[1]Income - Guild'!L21+'[1]Income - Organ'!L21+'[1]Income - SfSFund'!L21+'[1]Income - Benevolent'!L21+'[1]Income - Friday'!L21</f>
        <v>190</v>
      </c>
      <c r="L21" s="13">
        <f>'[1]Income - General'!M21+'[1]Income - Fabric'!M21+'[1]Income - FlowerFund'!M21+'[1]Income - SSchoolFund'!M21+'[1]Income - Guild'!M21+'[1]Income - Organ'!M21+'[1]Income - SfSFund'!M21+'[1]Income - Benevolent'!M21+'[1]Income - Friday'!M21</f>
        <v>50</v>
      </c>
      <c r="M21" s="13">
        <f>'[1]Income - General'!N21+'[1]Income - Fabric'!N21+'[1]Income - FlowerFund'!N21+'[1]Income - SSchoolFund'!N21+'[1]Income - Guild'!N21+'[1]Income - Organ'!N21+'[1]Income - SfSFund'!N21+'[1]Income - Benevolent'!N21+'[1]Income - Friday'!N21</f>
        <v>0</v>
      </c>
      <c r="N21" s="13">
        <f>SUM(B21:M21)</f>
        <v>2394.15</v>
      </c>
    </row>
    <row r="22" spans="1:14">
      <c r="A22" s="15" t="s">
        <v>50</v>
      </c>
      <c r="B22" s="13">
        <f>'[1]Income - General'!C22+'[1]Income - Fabric'!C22+'[1]Income - FlowerFund'!C22+'[1]Income - SSchoolFund'!C22+'[1]Income - Guild'!C22+'[1]Income - Organ'!C22+'[1]Income - SfSFund'!C22+'[1]Income - Benevolent'!C22+'[1]Income - Friday'!C22</f>
        <v>0</v>
      </c>
      <c r="C22" s="13">
        <f>'[1]Income - General'!D22+'[1]Income - Fabric'!D22+'[1]Income - FlowerFund'!D22+'[1]Income - SSchoolFund'!D22+'[1]Income - Guild'!D22+'[1]Income - Organ'!D22+'[1]Income - SfSFund'!D22+'[1]Income - Benevolent'!D22+'[1]Income - Friday'!D22</f>
        <v>0</v>
      </c>
      <c r="D22" s="13">
        <f>'[1]Income - General'!E22+'[1]Income - Fabric'!E22+'[1]Income - FlowerFund'!E22+'[1]Income - SSchoolFund'!E22+'[1]Income - Guild'!E22+'[1]Income - Organ'!E22+'[1]Income - SfSFund'!E22+'[1]Income - Benevolent'!E22+'[1]Income - Friday'!E22</f>
        <v>0</v>
      </c>
      <c r="E22" s="13">
        <f>'[1]Income - General'!F22+'[1]Income - Fabric'!F22+'[1]Income - FlowerFund'!F22+'[1]Income - SSchoolFund'!F22+'[1]Income - Guild'!F22+'[1]Income - Organ'!F22+'[1]Income - SfSFund'!F22+'[1]Income - Benevolent'!F22+'[1]Income - Friday'!F22</f>
        <v>0</v>
      </c>
      <c r="F22" s="13">
        <f>'[1]Income - General'!G22+'[1]Income - Fabric'!G22+'[1]Income - FlowerFund'!G22+'[1]Income - SSchoolFund'!G22+'[1]Income - Guild'!G22+'[1]Income - Organ'!G22+'[1]Income - SfSFund'!G22+'[1]Income - Benevolent'!G22+'[1]Income - Friday'!G22</f>
        <v>0</v>
      </c>
      <c r="G22" s="13">
        <f>'[1]Income - General'!H22+'[1]Income - Fabric'!H22+'[1]Income - FlowerFund'!H22+'[1]Income - SSchoolFund'!H22+'[1]Income - Guild'!H22+'[1]Income - Organ'!H22+'[1]Income - SfSFund'!H22+'[1]Income - Benevolent'!H22+'[1]Income - Friday'!H22</f>
        <v>0</v>
      </c>
      <c r="H22" s="13">
        <f>'[1]Income - General'!I22+'[1]Income - Fabric'!I22+'[1]Income - FlowerFund'!I22+'[1]Income - SSchoolFund'!I22+'[1]Income - Guild'!I22+'[1]Income - Organ'!I22+'[1]Income - SfSFund'!I22+'[1]Income - Benevolent'!I22+'[1]Income - Friday'!I22</f>
        <v>0</v>
      </c>
      <c r="I22" s="13">
        <f>'[1]Income - General'!J22+'[1]Income - Fabric'!J22+'[1]Income - FlowerFund'!J22+'[1]Income - SSchoolFund'!J22+'[1]Income - Guild'!J22+'[1]Income - Organ'!J22+'[1]Income - SfSFund'!J22+'[1]Income - Benevolent'!J22+'[1]Income - Friday'!J22</f>
        <v>0</v>
      </c>
      <c r="J22" s="13">
        <f>'[1]Income - General'!K22+'[1]Income - Fabric'!K22+'[1]Income - FlowerFund'!K22+'[1]Income - SSchoolFund'!K22+'[1]Income - Guild'!K22+'[1]Income - Organ'!K22+'[1]Income - SfSFund'!K22+'[1]Income - Benevolent'!K22+'[1]Income - Friday'!K22</f>
        <v>0</v>
      </c>
      <c r="K22" s="13">
        <f>'[1]Income - General'!L22+'[1]Income - Fabric'!L22+'[1]Income - FlowerFund'!L22+'[1]Income - SSchoolFund'!L22+'[1]Income - Guild'!L22+'[1]Income - Organ'!L22+'[1]Income - SfSFund'!L22+'[1]Income - Benevolent'!L22+'[1]Income - Friday'!L22</f>
        <v>0</v>
      </c>
      <c r="L22" s="13">
        <f>'[1]Income - General'!M22+'[1]Income - Fabric'!M22+'[1]Income - FlowerFund'!M22+'[1]Income - SSchoolFund'!M22+'[1]Income - Guild'!M22+'[1]Income - Organ'!M22+'[1]Income - SfSFund'!M22+'[1]Income - Benevolent'!M22+'[1]Income - Friday'!M22</f>
        <v>0</v>
      </c>
      <c r="M22" s="13">
        <f>'[1]Income - General'!N22+'[1]Income - Fabric'!N22+'[1]Income - FlowerFund'!N22+'[1]Income - SSchoolFund'!N22+'[1]Income - Guild'!N22+'[1]Income - Organ'!N22+'[1]Income - SfSFund'!N22+'[1]Income - Benevolent'!N22+'[1]Income - Friday'!N22</f>
        <v>0</v>
      </c>
      <c r="N22" s="13">
        <f>SUM(B22:M22)</f>
        <v>0</v>
      </c>
    </row>
    <row r="23" spans="1:14">
      <c r="A23" s="7" t="s">
        <v>55</v>
      </c>
      <c r="B23" s="26">
        <f>SUM(B19:B22)</f>
        <v>2446.5</v>
      </c>
      <c r="C23" s="26">
        <f t="shared" ref="C23:N23" si="2">SUM(C19:C22)</f>
        <v>3499.65</v>
      </c>
      <c r="D23" s="26">
        <f t="shared" si="2"/>
        <v>1935.5</v>
      </c>
      <c r="E23" s="26">
        <f t="shared" si="2"/>
        <v>2175.5</v>
      </c>
      <c r="F23" s="26">
        <f t="shared" si="2"/>
        <v>1871.5</v>
      </c>
      <c r="G23" s="26">
        <f t="shared" si="2"/>
        <v>1815.5</v>
      </c>
      <c r="H23" s="26">
        <f t="shared" si="2"/>
        <v>2215.5</v>
      </c>
      <c r="I23" s="26">
        <f t="shared" si="2"/>
        <v>1951.5</v>
      </c>
      <c r="J23" s="26">
        <f t="shared" si="2"/>
        <v>2345.5</v>
      </c>
      <c r="K23" s="26">
        <f t="shared" si="2"/>
        <v>2526.5</v>
      </c>
      <c r="L23" s="26">
        <f t="shared" si="2"/>
        <v>2525.5</v>
      </c>
      <c r="M23" s="26">
        <f t="shared" si="2"/>
        <v>1962.31</v>
      </c>
      <c r="N23" s="26">
        <f t="shared" si="2"/>
        <v>27270.959999999999</v>
      </c>
    </row>
    <row r="24" spans="1:14">
      <c r="B24" s="13"/>
      <c r="C24" s="13"/>
      <c r="D24" s="13"/>
      <c r="E24" s="13"/>
      <c r="F24" s="13"/>
      <c r="G24" s="13"/>
      <c r="H24" s="13"/>
      <c r="I24" s="13"/>
      <c r="J24" s="13"/>
      <c r="K24" s="13"/>
      <c r="L24" s="13"/>
      <c r="M24" s="13"/>
      <c r="N24" s="13"/>
    </row>
    <row r="25" spans="1:14">
      <c r="A25" s="7" t="s">
        <v>56</v>
      </c>
      <c r="B25" s="13"/>
      <c r="C25" s="13"/>
      <c r="D25" s="13"/>
      <c r="E25" s="13"/>
      <c r="F25" s="13"/>
      <c r="G25" s="13"/>
      <c r="H25" s="13"/>
      <c r="I25" s="13"/>
      <c r="J25" s="13"/>
      <c r="K25" s="13"/>
      <c r="L25" s="13"/>
      <c r="M25" s="13"/>
      <c r="N25" s="13"/>
    </row>
    <row r="26" spans="1:14">
      <c r="A26" s="15" t="s">
        <v>57</v>
      </c>
      <c r="B26" s="13">
        <f>'[1]Income - General'!C26+'[1]Income - Fabric'!C26+'[1]Income - FlowerFund'!C26+'[1]Income - SSchoolFund'!C26+'[1]Income - Guild'!C26+'[1]Income - Organ'!C26+'[1]Income - SfSFund'!C26+'[1]Income - Benevolent'!C26+'[1]Income - Friday'!C26</f>
        <v>4610.18</v>
      </c>
      <c r="C26" s="13">
        <f>'[1]Income - General'!D26+'[1]Income - Fabric'!D26+'[1]Income - FlowerFund'!D26+'[1]Income - SSchoolFund'!D26+'[1]Income - Guild'!D26+'[1]Income - Organ'!D26+'[1]Income - SfSFund'!D26+'[1]Income - Benevolent'!D26+'[1]Income - Friday'!D26</f>
        <v>0</v>
      </c>
      <c r="D26" s="13">
        <f>'[1]Income - General'!E26+'[1]Income - Fabric'!E26+'[1]Income - FlowerFund'!E26+'[1]Income - SSchoolFund'!E26+'[1]Income - Guild'!E26+'[1]Income - Organ'!E26+'[1]Income - SfSFund'!E26+'[1]Income - Benevolent'!E26+'[1]Income - Friday'!E26</f>
        <v>0</v>
      </c>
      <c r="E26" s="13">
        <f>'[1]Income - General'!F26+'[1]Income - Fabric'!F26+'[1]Income - FlowerFund'!F26+'[1]Income - SSchoolFund'!F26+'[1]Income - Guild'!F26+'[1]Income - Organ'!F26+'[1]Income - SfSFund'!F26+'[1]Income - Benevolent'!F26+'[1]Income - Friday'!F26</f>
        <v>4331.6899999999996</v>
      </c>
      <c r="F26" s="13">
        <f>'[1]Income - General'!G26+'[1]Income - Fabric'!G26+'[1]Income - FlowerFund'!G26+'[1]Income - SSchoolFund'!G26+'[1]Income - Guild'!G26+'[1]Income - Organ'!G26+'[1]Income - SfSFund'!G26+'[1]Income - Benevolent'!G26+'[1]Income - Friday'!G26</f>
        <v>355</v>
      </c>
      <c r="G26" s="13">
        <f>'[1]Income - General'!H26+'[1]Income - Fabric'!H26+'[1]Income - FlowerFund'!H26+'[1]Income - SSchoolFund'!H26+'[1]Income - Guild'!H26+'[1]Income - Organ'!H26+'[1]Income - SfSFund'!H26+'[1]Income - Benevolent'!H26+'[1]Income - Friday'!H26</f>
        <v>288.75</v>
      </c>
      <c r="H26" s="13">
        <f>'[1]Income - General'!I26+'[1]Income - Fabric'!I26+'[1]Income - FlowerFund'!I26+'[1]Income - SSchoolFund'!I26+'[1]Income - Guild'!I26+'[1]Income - Organ'!I26+'[1]Income - SfSFund'!I26+'[1]Income - Benevolent'!I26+'[1]Income - Friday'!I26</f>
        <v>4059.96</v>
      </c>
      <c r="I26" s="13">
        <f>'[1]Income - General'!J26+'[1]Income - Fabric'!J26+'[1]Income - FlowerFund'!J26+'[1]Income - SSchoolFund'!J26+'[1]Income - Guild'!J26+'[1]Income - Organ'!J26+'[1]Income - SfSFund'!J26+'[1]Income - Benevolent'!J26+'[1]Income - Friday'!J26</f>
        <v>0</v>
      </c>
      <c r="J26" s="13">
        <f>'[1]Income - General'!K26+'[1]Income - Fabric'!K26+'[1]Income - FlowerFund'!K26+'[1]Income - SSchoolFund'!K26+'[1]Income - Guild'!K26+'[1]Income - Organ'!K26+'[1]Income - SfSFund'!K26+'[1]Income - Benevolent'!K26+'[1]Income - Friday'!K26</f>
        <v>0</v>
      </c>
      <c r="K26" s="13">
        <f>'[1]Income - General'!L26+'[1]Income - Fabric'!L26+'[1]Income - FlowerFund'!L26+'[1]Income - SSchoolFund'!L26+'[1]Income - Guild'!L26+'[1]Income - Organ'!L26+'[1]Income - SfSFund'!L26+'[1]Income - Benevolent'!L26+'[1]Income - Friday'!L26</f>
        <v>4538</v>
      </c>
      <c r="L26" s="13">
        <f>'[1]Income - General'!M26+'[1]Income - Fabric'!M26+'[1]Income - FlowerFund'!M26+'[1]Income - SSchoolFund'!M26+'[1]Income - Guild'!M26+'[1]Income - Organ'!M26+'[1]Income - SfSFund'!M26+'[1]Income - Benevolent'!M26+'[1]Income - Friday'!M26</f>
        <v>3929.25</v>
      </c>
      <c r="M26" s="13">
        <f>'[1]Income - General'!N26+'[1]Income - Fabric'!N26+'[1]Income - FlowerFund'!N26+'[1]Income - SSchoolFund'!N26+'[1]Income - Guild'!N26+'[1]Income - Organ'!N26+'[1]Income - SfSFund'!N26+'[1]Income - Benevolent'!N26+'[1]Income - Friday'!N26</f>
        <v>35</v>
      </c>
      <c r="N26" s="13">
        <f>SUM(B26:M26)</f>
        <v>22147.829999999998</v>
      </c>
    </row>
    <row r="27" spans="1:14">
      <c r="A27" s="16" t="s">
        <v>58</v>
      </c>
      <c r="B27" s="27">
        <f t="shared" ref="B27:N27" si="3">SUM(B26:B26)</f>
        <v>4610.18</v>
      </c>
      <c r="C27" s="27">
        <f t="shared" si="3"/>
        <v>0</v>
      </c>
      <c r="D27" s="27">
        <f t="shared" si="3"/>
        <v>0</v>
      </c>
      <c r="E27" s="27">
        <f t="shared" si="3"/>
        <v>4331.6899999999996</v>
      </c>
      <c r="F27" s="27">
        <f t="shared" si="3"/>
        <v>355</v>
      </c>
      <c r="G27" s="27">
        <f t="shared" si="3"/>
        <v>288.75</v>
      </c>
      <c r="H27" s="27">
        <f t="shared" si="3"/>
        <v>4059.96</v>
      </c>
      <c r="I27" s="27">
        <f t="shared" si="3"/>
        <v>0</v>
      </c>
      <c r="J27" s="27">
        <f t="shared" si="3"/>
        <v>0</v>
      </c>
      <c r="K27" s="27">
        <f t="shared" si="3"/>
        <v>4538</v>
      </c>
      <c r="L27" s="27">
        <f t="shared" si="3"/>
        <v>3929.25</v>
      </c>
      <c r="M27" s="27">
        <f t="shared" si="3"/>
        <v>35</v>
      </c>
      <c r="N27" s="27">
        <f t="shared" si="3"/>
        <v>22147.829999999998</v>
      </c>
    </row>
    <row r="28" spans="1:14">
      <c r="A28" s="15"/>
      <c r="B28" s="13"/>
      <c r="C28" s="13"/>
      <c r="D28" s="13"/>
      <c r="E28" s="13"/>
      <c r="F28" s="13"/>
      <c r="G28" s="13"/>
      <c r="H28" s="13"/>
      <c r="I28" s="13"/>
      <c r="J28" s="13"/>
      <c r="K28" s="13"/>
      <c r="L28" s="13"/>
      <c r="M28" s="13"/>
      <c r="N28" s="13"/>
    </row>
    <row r="29" spans="1:14">
      <c r="A29" s="7" t="s">
        <v>59</v>
      </c>
      <c r="B29" s="13"/>
      <c r="C29" s="13"/>
      <c r="D29" s="13"/>
      <c r="E29" s="13"/>
      <c r="F29" s="13"/>
      <c r="G29" s="13"/>
      <c r="H29" s="13"/>
      <c r="I29" s="13"/>
      <c r="J29" s="13"/>
      <c r="K29" s="13"/>
      <c r="L29" s="13"/>
      <c r="M29" s="13"/>
      <c r="N29" s="13"/>
    </row>
    <row r="30" spans="1:14">
      <c r="A30" s="15" t="s">
        <v>60</v>
      </c>
      <c r="B30" s="13">
        <f>'[1]Income - General'!C30+'[1]Income - Fabric'!C31+'[1]Income - FlowerFund'!C31+'[1]Income - SSchoolFund'!C31+'[1]Income - Guild'!C31+'[1]Income - Organ'!C31+'[1]Income - SfSFund'!C31+'[1]Income - Benevolent'!C31+'[1]Income - Friday'!C31</f>
        <v>0</v>
      </c>
      <c r="C30" s="13">
        <f>'[1]Income - General'!D30+'[1]Income - Fabric'!D31+'[1]Income - FlowerFund'!D31+'[1]Income - SSchoolFund'!D31+'[1]Income - Guild'!D31+'[1]Income - Organ'!D31+'[1]Income - SfSFund'!D31+'[1]Income - Benevolent'!D31+'[1]Income - Friday'!D31</f>
        <v>0</v>
      </c>
      <c r="D30" s="13">
        <f>'[1]Income - General'!E30+'[1]Income - Fabric'!E31+'[1]Income - FlowerFund'!E31+'[1]Income - SSchoolFund'!E31+'[1]Income - Guild'!E31+'[1]Income - Organ'!E31+'[1]Income - SfSFund'!E31+'[1]Income - Benevolent'!E31+'[1]Income - Friday'!E31</f>
        <v>0</v>
      </c>
      <c r="E30" s="13">
        <f>'[1]Income - General'!F30+'[1]Income - Fabric'!F31+'[1]Income - FlowerFund'!F31+'[1]Income - SSchoolFund'!F31+'[1]Income - Guild'!F31+'[1]Income - Organ'!F31+'[1]Income - SfSFund'!F31+'[1]Income - Benevolent'!F31+'[1]Income - Friday'!F31</f>
        <v>0</v>
      </c>
      <c r="F30" s="13">
        <f>'[1]Income - General'!G30+'[1]Income - Fabric'!G31+'[1]Income - FlowerFund'!G31+'[1]Income - SSchoolFund'!G31+'[1]Income - Guild'!G31+'[1]Income - Organ'!G31+'[1]Income - SfSFund'!G31+'[1]Income - Benevolent'!G31+'[1]Income - Friday'!G31</f>
        <v>0</v>
      </c>
      <c r="G30" s="13">
        <f>'[1]Income - General'!H30+'[1]Income - Fabric'!H31+'[1]Income - FlowerFund'!H31+'[1]Income - SSchoolFund'!H31+'[1]Income - Guild'!H31+'[1]Income - Organ'!H31+'[1]Income - SfSFund'!H31+'[1]Income - Benevolent'!H31+'[1]Income - Friday'!H31</f>
        <v>0</v>
      </c>
      <c r="H30" s="13">
        <f>'[1]Income - General'!I30+'[1]Income - Fabric'!I31+'[1]Income - FlowerFund'!I31+'[1]Income - SSchoolFund'!I31+'[1]Income - Guild'!I31+'[1]Income - Organ'!I31+'[1]Income - SfSFund'!I31+'[1]Income - Benevolent'!I31+'[1]Income - Friday'!I31</f>
        <v>0</v>
      </c>
      <c r="I30" s="13">
        <f>'[1]Income - General'!J30+'[1]Income - Fabric'!J31+'[1]Income - FlowerFund'!J31+'[1]Income - SSchoolFund'!J31+'[1]Income - Guild'!J31+'[1]Income - Organ'!J31+'[1]Income - SfSFund'!J31+'[1]Income - Benevolent'!J31+'[1]Income - Friday'!J31</f>
        <v>0</v>
      </c>
      <c r="J30" s="13">
        <f>'[1]Income - General'!K30+'[1]Income - Fabric'!K31+'[1]Income - FlowerFund'!K31+'[1]Income - SSchoolFund'!K31+'[1]Income - Guild'!K31+'[1]Income - Organ'!K31+'[1]Income - SfSFund'!K31+'[1]Income - Benevolent'!K31+'[1]Income - Friday'!K31</f>
        <v>0</v>
      </c>
      <c r="K30" s="13">
        <f>'[1]Income - General'!L30+'[1]Income - Fabric'!L31+'[1]Income - FlowerFund'!L31+'[1]Income - SSchoolFund'!L31+'[1]Income - Guild'!L31+'[1]Income - Organ'!L31+'[1]Income - SfSFund'!L31+'[1]Income - Benevolent'!L31+'[1]Income - Friday'!L31</f>
        <v>0</v>
      </c>
      <c r="L30" s="13">
        <f>'[1]Income - General'!M30+'[1]Income - Fabric'!M31+'[1]Income - FlowerFund'!M31+'[1]Income - SSchoolFund'!M31+'[1]Income - Guild'!M31+'[1]Income - Organ'!M31+'[1]Income - SfSFund'!M31+'[1]Income - Benevolent'!M31+'[1]Income - Friday'!M31</f>
        <v>0</v>
      </c>
      <c r="M30" s="13">
        <f>'[1]Income - General'!N30+'[1]Income - Fabric'!N31+'[1]Income - FlowerFund'!N31+'[1]Income - SSchoolFund'!N31+'[1]Income - Guild'!N31+'[1]Income - Organ'!N31+'[1]Income - SfSFund'!N31+'[1]Income - Benevolent'!N31+'[1]Income - Friday'!N31</f>
        <v>0</v>
      </c>
      <c r="N30" s="13">
        <f>SUM(B30:M30)</f>
        <v>0</v>
      </c>
    </row>
    <row r="31" spans="1:14">
      <c r="A31" s="7" t="s">
        <v>61</v>
      </c>
      <c r="B31" s="27">
        <f>SUM(B30)</f>
        <v>0</v>
      </c>
      <c r="C31" s="27">
        <f t="shared" ref="C31:N31" si="4">SUM(C30)</f>
        <v>0</v>
      </c>
      <c r="D31" s="27">
        <f t="shared" si="4"/>
        <v>0</v>
      </c>
      <c r="E31" s="27">
        <f t="shared" si="4"/>
        <v>0</v>
      </c>
      <c r="F31" s="27">
        <f t="shared" si="4"/>
        <v>0</v>
      </c>
      <c r="G31" s="27">
        <f t="shared" si="4"/>
        <v>0</v>
      </c>
      <c r="H31" s="27">
        <f t="shared" si="4"/>
        <v>0</v>
      </c>
      <c r="I31" s="27">
        <f t="shared" si="4"/>
        <v>0</v>
      </c>
      <c r="J31" s="27">
        <f t="shared" si="4"/>
        <v>0</v>
      </c>
      <c r="K31" s="27">
        <f t="shared" si="4"/>
        <v>0</v>
      </c>
      <c r="L31" s="27">
        <f t="shared" si="4"/>
        <v>0</v>
      </c>
      <c r="M31" s="27">
        <f t="shared" si="4"/>
        <v>0</v>
      </c>
      <c r="N31" s="27">
        <f t="shared" si="4"/>
        <v>0</v>
      </c>
    </row>
    <row r="32" spans="1:14">
      <c r="A32" s="15"/>
      <c r="B32" s="13"/>
      <c r="C32" s="13"/>
      <c r="D32" s="13"/>
      <c r="E32" s="13"/>
      <c r="F32" s="13"/>
      <c r="G32" s="13"/>
      <c r="H32" s="13"/>
      <c r="I32" s="13"/>
      <c r="J32" s="13"/>
      <c r="K32" s="13"/>
      <c r="L32" s="13"/>
      <c r="M32" s="13"/>
      <c r="N32" s="13"/>
    </row>
    <row r="33" spans="1:14">
      <c r="A33" s="39" t="s">
        <v>147</v>
      </c>
      <c r="B33" s="13"/>
      <c r="C33" s="13"/>
      <c r="D33" s="13"/>
      <c r="E33" s="13"/>
      <c r="F33" s="13"/>
      <c r="G33" s="13"/>
      <c r="H33" s="13"/>
      <c r="I33" s="13"/>
      <c r="J33" s="13"/>
      <c r="K33" s="13"/>
      <c r="L33" s="13"/>
      <c r="M33" s="13"/>
      <c r="N33" s="13"/>
    </row>
    <row r="34" spans="1:14">
      <c r="A34" s="15" t="s">
        <v>63</v>
      </c>
      <c r="B34" s="13">
        <f>'[1]Income - General'!C34+'[1]Income - Fabric'!C35+'[1]Income - FlowerFund'!C35+'[1]Income - SSchoolFund'!C35+'[1]Income - Guild'!C35+'[1]Income - Organ'!C35+'[1]Income - SfSFund'!C35+'[1]Income - Benevolent'!C35+'[1]Income - Friday'!C35</f>
        <v>0</v>
      </c>
      <c r="C34" s="13">
        <f>'[1]Income - General'!D34+'[1]Income - Fabric'!D35+'[1]Income - FlowerFund'!D35+'[1]Income - SSchoolFund'!D35+'[1]Income - Guild'!D35+'[1]Income - Organ'!D35+'[1]Income - SfSFund'!D35+'[1]Income - Benevolent'!D35+'[1]Income - Friday'!D35</f>
        <v>0</v>
      </c>
      <c r="D34" s="13">
        <f>'[1]Income - General'!E34+'[1]Income - Fabric'!E35+'[1]Income - FlowerFund'!E35+'[1]Income - SSchoolFund'!E35+'[1]Income - Guild'!E35+'[1]Income - Organ'!E35+'[1]Income - SfSFund'!E35+'[1]Income - Benevolent'!E35+'[1]Income - Friday'!E35</f>
        <v>0</v>
      </c>
      <c r="E34" s="13">
        <f>'[1]Income - General'!F34+'[1]Income - Fabric'!F35+'[1]Income - FlowerFund'!F35+'[1]Income - SSchoolFund'!F35+'[1]Income - Guild'!F35+'[1]Income - Organ'!F35+'[1]Income - SfSFund'!F35+'[1]Income - Benevolent'!F35+'[1]Income - Friday'!F35</f>
        <v>0</v>
      </c>
      <c r="F34" s="13">
        <f>'[1]Income - General'!G34+'[1]Income - Fabric'!G35+'[1]Income - FlowerFund'!G35+'[1]Income - SSchoolFund'!G35+'[1]Income - Guild'!G35+'[1]Income - Organ'!G35+'[1]Income - SfSFund'!G35+'[1]Income - Benevolent'!G35+'[1]Income - Friday'!G35</f>
        <v>0</v>
      </c>
      <c r="G34" s="13">
        <f>'[1]Income - General'!H34+'[1]Income - Fabric'!H35+'[1]Income - FlowerFund'!H35+'[1]Income - SSchoolFund'!H35+'[1]Income - Guild'!H35+'[1]Income - Organ'!H35+'[1]Income - SfSFund'!H35+'[1]Income - Benevolent'!H35+'[1]Income - Friday'!H35</f>
        <v>0</v>
      </c>
      <c r="H34" s="13">
        <f>'[1]Income - General'!I34+'[1]Income - Fabric'!I35+'[1]Income - FlowerFund'!I35+'[1]Income - SSchoolFund'!I35+'[1]Income - Guild'!I35+'[1]Income - Organ'!I35+'[1]Income - SfSFund'!I35+'[1]Income - Benevolent'!I35+'[1]Income - Friday'!I35</f>
        <v>0</v>
      </c>
      <c r="I34" s="13">
        <f>'[1]Income - General'!J34+'[1]Income - Fabric'!J35+'[1]Income - FlowerFund'!J35+'[1]Income - SSchoolFund'!J35+'[1]Income - Guild'!J35+'[1]Income - Organ'!J35+'[1]Income - SfSFund'!J35+'[1]Income - Benevolent'!J35+'[1]Income - Friday'!J35</f>
        <v>0</v>
      </c>
      <c r="J34" s="13">
        <f>'[1]Income - General'!K34+'[1]Income - Fabric'!K35+'[1]Income - FlowerFund'!K35+'[1]Income - SSchoolFund'!K35+'[1]Income - Guild'!K35+'[1]Income - Organ'!K35+'[1]Income - SfSFund'!K35+'[1]Income - Benevolent'!K35+'[1]Income - Friday'!K35</f>
        <v>0</v>
      </c>
      <c r="K34" s="13">
        <f>'[1]Income - General'!L34+'[1]Income - Fabric'!L35+'[1]Income - FlowerFund'!L35+'[1]Income - SSchoolFund'!L35+'[1]Income - Guild'!L35+'[1]Income - Organ'!L35+'[1]Income - SfSFund'!L35+'[1]Income - Benevolent'!L35+'[1]Income - Friday'!L35</f>
        <v>0</v>
      </c>
      <c r="L34" s="13">
        <f>'[1]Income - General'!M34+'[1]Income - Fabric'!M35+'[1]Income - FlowerFund'!M35+'[1]Income - SSchoolFund'!M35+'[1]Income - Guild'!M35+'[1]Income - Organ'!M35+'[1]Income - SfSFund'!M35+'[1]Income - Benevolent'!M35+'[1]Income - Friday'!M35</f>
        <v>0</v>
      </c>
      <c r="M34" s="13">
        <f>'[1]Income - General'!N34+'[1]Income - Fabric'!N35+'[1]Income - FlowerFund'!N35+'[1]Income - SSchoolFund'!N35+'[1]Income - Guild'!N35+'[1]Income - Organ'!N35+'[1]Income - SfSFund'!N35+'[1]Income - Benevolent'!N35+'[1]Income - Friday'!N35</f>
        <v>0</v>
      </c>
      <c r="N34" s="13">
        <f>SUM(B34:M34)</f>
        <v>0</v>
      </c>
    </row>
    <row r="35" spans="1:14">
      <c r="A35" s="15" t="s">
        <v>64</v>
      </c>
      <c r="B35" s="13">
        <f>'[1]Income - General'!C35+'[1]Income - Fabric'!C36+'[1]Income - FlowerFund'!C36+'[1]Income - SSchoolFund'!C36+'[1]Income - Guild'!C36+'[1]Income - Organ'!C36+'[1]Income - SfSFund'!C36+'[1]Income - Benevolent'!C36+'[1]Income - Friday'!C36</f>
        <v>0</v>
      </c>
      <c r="C35" s="13">
        <f>'[1]Income - General'!D35+'[1]Income - Fabric'!D36+'[1]Income - FlowerFund'!D36+'[1]Income - SSchoolFund'!D36+'[1]Income - Guild'!D36+'[1]Income - Organ'!D36+'[1]Income - SfSFund'!D36+'[1]Income - Benevolent'!D36+'[1]Income - Friday'!D36</f>
        <v>0</v>
      </c>
      <c r="D35" s="13">
        <f>'[1]Income - General'!E35+'[1]Income - Fabric'!E36+'[1]Income - FlowerFund'!E36+'[1]Income - SSchoolFund'!E36+'[1]Income - Guild'!E36+'[1]Income - Organ'!E36+'[1]Income - SfSFund'!E36+'[1]Income - Benevolent'!E36+'[1]Income - Friday'!E36</f>
        <v>0</v>
      </c>
      <c r="E35" s="13">
        <f>'[1]Income - General'!F35+'[1]Income - Fabric'!F36+'[1]Income - FlowerFund'!F36+'[1]Income - SSchoolFund'!F36+'[1]Income - Guild'!F36+'[1]Income - Organ'!F36+'[1]Income - SfSFund'!F36+'[1]Income - Benevolent'!F36+'[1]Income - Friday'!F36</f>
        <v>0</v>
      </c>
      <c r="F35" s="13">
        <f>'[1]Income - General'!G35+'[1]Income - Fabric'!G36+'[1]Income - FlowerFund'!G36+'[1]Income - SSchoolFund'!G36+'[1]Income - Guild'!G36+'[1]Income - Organ'!G36+'[1]Income - SfSFund'!G36+'[1]Income - Benevolent'!G36+'[1]Income - Friday'!G36</f>
        <v>0</v>
      </c>
      <c r="G35" s="13">
        <f>'[1]Income - General'!H35+'[1]Income - Fabric'!H36+'[1]Income - FlowerFund'!H36+'[1]Income - SSchoolFund'!H36+'[1]Income - Guild'!H36+'[1]Income - Organ'!H36+'[1]Income - SfSFund'!H36+'[1]Income - Benevolent'!H36+'[1]Income - Friday'!H36</f>
        <v>0</v>
      </c>
      <c r="H35" s="13">
        <f>'[1]Income - General'!I35+'[1]Income - Fabric'!I36+'[1]Income - FlowerFund'!I36+'[1]Income - SSchoolFund'!I36+'[1]Income - Guild'!I36+'[1]Income - Organ'!I36+'[1]Income - SfSFund'!I36+'[1]Income - Benevolent'!I36+'[1]Income - Friday'!I36</f>
        <v>0</v>
      </c>
      <c r="I35" s="13">
        <f>'[1]Income - General'!J35+'[1]Income - Fabric'!J36+'[1]Income - FlowerFund'!J36+'[1]Income - SSchoolFund'!J36+'[1]Income - Guild'!J36+'[1]Income - Organ'!J36+'[1]Income - SfSFund'!J36+'[1]Income - Benevolent'!J36+'[1]Income - Friday'!J36</f>
        <v>0</v>
      </c>
      <c r="J35" s="13">
        <f>'[1]Income - General'!K35+'[1]Income - Fabric'!K36+'[1]Income - FlowerFund'!K36+'[1]Income - SSchoolFund'!K36+'[1]Income - Guild'!K36+'[1]Income - Organ'!K36+'[1]Income - SfSFund'!K36+'[1]Income - Benevolent'!K36+'[1]Income - Friday'!K36</f>
        <v>0</v>
      </c>
      <c r="K35" s="13">
        <f>'[1]Income - General'!L35+'[1]Income - Fabric'!L36+'[1]Income - FlowerFund'!L36+'[1]Income - SSchoolFund'!L36+'[1]Income - Guild'!L36+'[1]Income - Organ'!L36+'[1]Income - SfSFund'!L36+'[1]Income - Benevolent'!L36+'[1]Income - Friday'!L36</f>
        <v>0</v>
      </c>
      <c r="L35" s="13">
        <f>'[1]Income - General'!M35+'[1]Income - Fabric'!M36+'[1]Income - FlowerFund'!M36+'[1]Income - SSchoolFund'!M36+'[1]Income - Guild'!M36+'[1]Income - Organ'!M36+'[1]Income - SfSFund'!M36+'[1]Income - Benevolent'!M36+'[1]Income - Friday'!M36</f>
        <v>0</v>
      </c>
      <c r="M35" s="13">
        <f>'[1]Income - General'!N35+'[1]Income - Fabric'!N36+'[1]Income - FlowerFund'!N36+'[1]Income - SSchoolFund'!N36+'[1]Income - Guild'!N36+'[1]Income - Organ'!N36+'[1]Income - SfSFund'!N36+'[1]Income - Benevolent'!N36+'[1]Income - Friday'!N36</f>
        <v>0</v>
      </c>
      <c r="N35" s="13">
        <f>SUM(B35:M35)</f>
        <v>0</v>
      </c>
    </row>
    <row r="36" spans="1:14">
      <c r="A36" s="15" t="s">
        <v>65</v>
      </c>
      <c r="B36" s="13">
        <f>'[1]Income - General'!C36+'[1]Income - Fabric'!C37+'[1]Income - FlowerFund'!C37+'[1]Income - SSchoolFund'!C37+'[1]Income - Guild'!C37+'[1]Income - Organ'!C37+'[1]Income - SfSFund'!C37+'[1]Income - Benevolent'!C37+'[1]Income - Friday'!C37</f>
        <v>0</v>
      </c>
      <c r="C36" s="13">
        <f>'[1]Income - General'!D36+'[1]Income - Fabric'!D37+'[1]Income - FlowerFund'!D37+'[1]Income - SSchoolFund'!D37+'[1]Income - Guild'!D37+'[1]Income - Organ'!D37+'[1]Income - SfSFund'!D37+'[1]Income - Benevolent'!D37+'[1]Income - Friday'!D37</f>
        <v>0</v>
      </c>
      <c r="D36" s="13">
        <f>'[1]Income - General'!E36+'[1]Income - Fabric'!E37+'[1]Income - FlowerFund'!E37+'[1]Income - SSchoolFund'!E37+'[1]Income - Guild'!E37+'[1]Income - Organ'!E37+'[1]Income - SfSFund'!E37+'[1]Income - Benevolent'!E37+'[1]Income - Friday'!E37</f>
        <v>0</v>
      </c>
      <c r="E36" s="13">
        <f>'[1]Income - General'!F36+'[1]Income - Fabric'!F37+'[1]Income - FlowerFund'!F37+'[1]Income - SSchoolFund'!F37+'[1]Income - Guild'!F37+'[1]Income - Organ'!F37+'[1]Income - SfSFund'!F37+'[1]Income - Benevolent'!F37+'[1]Income - Friday'!F37</f>
        <v>0</v>
      </c>
      <c r="F36" s="13">
        <f>'[1]Income - General'!G36+'[1]Income - Fabric'!G37+'[1]Income - FlowerFund'!G37+'[1]Income - SSchoolFund'!G37+'[1]Income - Guild'!G37+'[1]Income - Organ'!G37+'[1]Income - SfSFund'!G37+'[1]Income - Benevolent'!G37+'[1]Income - Friday'!G37</f>
        <v>0</v>
      </c>
      <c r="G36" s="13">
        <f>'[1]Income - General'!H36+'[1]Income - Fabric'!H37+'[1]Income - FlowerFund'!H37+'[1]Income - SSchoolFund'!H37+'[1]Income - Guild'!H37+'[1]Income - Organ'!H37+'[1]Income - SfSFund'!H37+'[1]Income - Benevolent'!H37+'[1]Income - Friday'!H37</f>
        <v>0</v>
      </c>
      <c r="H36" s="13">
        <f>'[1]Income - General'!I36+'[1]Income - Fabric'!I37+'[1]Income - FlowerFund'!I37+'[1]Income - SSchoolFund'!I37+'[1]Income - Guild'!I37+'[1]Income - Organ'!I37+'[1]Income - SfSFund'!I37+'[1]Income - Benevolent'!I37+'[1]Income - Friday'!I37</f>
        <v>0</v>
      </c>
      <c r="I36" s="13">
        <f>'[1]Income - General'!J36+'[1]Income - Fabric'!J37+'[1]Income - FlowerFund'!J37+'[1]Income - SSchoolFund'!J37+'[1]Income - Guild'!J37+'[1]Income - Organ'!J37+'[1]Income - SfSFund'!J37+'[1]Income - Benevolent'!J37+'[1]Income - Friday'!J37</f>
        <v>0</v>
      </c>
      <c r="J36" s="13">
        <f>'[1]Income - General'!K36+'[1]Income - Fabric'!K37+'[1]Income - FlowerFund'!K37+'[1]Income - SSchoolFund'!K37+'[1]Income - Guild'!K37+'[1]Income - Organ'!K37+'[1]Income - SfSFund'!K37+'[1]Income - Benevolent'!K37+'[1]Income - Friday'!K37</f>
        <v>0</v>
      </c>
      <c r="K36" s="13">
        <f>'[1]Income - General'!L36+'[1]Income - Fabric'!L37+'[1]Income - FlowerFund'!L37+'[1]Income - SSchoolFund'!L37+'[1]Income - Guild'!L37+'[1]Income - Organ'!L37+'[1]Income - SfSFund'!L37+'[1]Income - Benevolent'!L37+'[1]Income - Friday'!L37</f>
        <v>0</v>
      </c>
      <c r="L36" s="13">
        <f>'[1]Income - General'!M36+'[1]Income - Fabric'!M37+'[1]Income - FlowerFund'!M37+'[1]Income - SSchoolFund'!M37+'[1]Income - Guild'!M37+'[1]Income - Organ'!M37+'[1]Income - SfSFund'!M37+'[1]Income - Benevolent'!M37+'[1]Income - Friday'!M37</f>
        <v>0</v>
      </c>
      <c r="M36" s="13">
        <f>'[1]Income - General'!N36+'[1]Income - Fabric'!N37+'[1]Income - FlowerFund'!N37+'[1]Income - SSchoolFund'!N37+'[1]Income - Guild'!N37+'[1]Income - Organ'!N37+'[1]Income - SfSFund'!N37+'[1]Income - Benevolent'!N37+'[1]Income - Friday'!N37</f>
        <v>0</v>
      </c>
      <c r="N36" s="13">
        <f>SUM(B36:M36)</f>
        <v>0</v>
      </c>
    </row>
    <row r="37" spans="1:14">
      <c r="A37" s="39" t="s">
        <v>66</v>
      </c>
      <c r="B37" s="27">
        <f>SUM(B34:B36)</f>
        <v>0</v>
      </c>
      <c r="C37" s="27">
        <f t="shared" ref="C37:N37" si="5">SUM(C34:C36)</f>
        <v>0</v>
      </c>
      <c r="D37" s="27">
        <f t="shared" si="5"/>
        <v>0</v>
      </c>
      <c r="E37" s="27">
        <f t="shared" si="5"/>
        <v>0</v>
      </c>
      <c r="F37" s="27">
        <f t="shared" si="5"/>
        <v>0</v>
      </c>
      <c r="G37" s="27">
        <f t="shared" si="5"/>
        <v>0</v>
      </c>
      <c r="H37" s="27">
        <f t="shared" si="5"/>
        <v>0</v>
      </c>
      <c r="I37" s="27">
        <f t="shared" si="5"/>
        <v>0</v>
      </c>
      <c r="J37" s="27">
        <f t="shared" si="5"/>
        <v>0</v>
      </c>
      <c r="K37" s="27">
        <f t="shared" si="5"/>
        <v>0</v>
      </c>
      <c r="L37" s="27">
        <f t="shared" si="5"/>
        <v>0</v>
      </c>
      <c r="M37" s="27">
        <f t="shared" si="5"/>
        <v>0</v>
      </c>
      <c r="N37" s="27">
        <f t="shared" si="5"/>
        <v>0</v>
      </c>
    </row>
    <row r="38" spans="1:14">
      <c r="A38" s="15"/>
      <c r="B38" s="13"/>
      <c r="C38" s="13"/>
      <c r="D38" s="13"/>
      <c r="E38" s="13"/>
      <c r="F38" s="13"/>
      <c r="G38" s="13"/>
      <c r="H38" s="13"/>
      <c r="I38" s="13"/>
      <c r="J38" s="13"/>
      <c r="K38" s="13"/>
      <c r="L38" s="13"/>
      <c r="M38" s="13"/>
      <c r="N38" s="13"/>
    </row>
    <row r="39" spans="1:14">
      <c r="A39" s="16" t="s">
        <v>67</v>
      </c>
      <c r="B39" s="27">
        <f t="shared" ref="B39:N39" si="6">B37+B31+B27+B16+B23</f>
        <v>13835.35</v>
      </c>
      <c r="C39" s="27">
        <f t="shared" si="6"/>
        <v>10814.68</v>
      </c>
      <c r="D39" s="27">
        <f t="shared" si="6"/>
        <v>10352.1</v>
      </c>
      <c r="E39" s="27">
        <f t="shared" si="6"/>
        <v>15386.509999999998</v>
      </c>
      <c r="F39" s="27">
        <f t="shared" si="6"/>
        <v>13202.9</v>
      </c>
      <c r="G39" s="27">
        <f t="shared" si="6"/>
        <v>9921.57</v>
      </c>
      <c r="H39" s="27">
        <f t="shared" si="6"/>
        <v>14517.689999999999</v>
      </c>
      <c r="I39" s="27">
        <f t="shared" si="6"/>
        <v>9617.33</v>
      </c>
      <c r="J39" s="27">
        <f t="shared" si="6"/>
        <v>9735.66</v>
      </c>
      <c r="K39" s="27">
        <f t="shared" si="6"/>
        <v>14928.970000000001</v>
      </c>
      <c r="L39" s="27">
        <f t="shared" si="6"/>
        <v>13652.599999999999</v>
      </c>
      <c r="M39" s="27">
        <f t="shared" si="6"/>
        <v>10623.31</v>
      </c>
      <c r="N39" s="27">
        <f t="shared" si="6"/>
        <v>146588.67000000001</v>
      </c>
    </row>
    <row r="40" spans="1:14">
      <c r="A40" s="15"/>
      <c r="B40" s="13"/>
      <c r="C40" s="13"/>
      <c r="D40" s="13"/>
      <c r="E40" s="13"/>
      <c r="F40" s="13"/>
      <c r="G40" s="13"/>
      <c r="H40" s="13"/>
      <c r="I40" s="13"/>
      <c r="J40" s="13"/>
      <c r="K40" s="13"/>
      <c r="L40" s="13"/>
      <c r="M40" s="13"/>
      <c r="N40" s="13"/>
    </row>
    <row r="41" spans="1:14">
      <c r="A41" s="40" t="s">
        <v>68</v>
      </c>
      <c r="B41" s="13"/>
      <c r="C41" s="13"/>
      <c r="D41" s="13"/>
      <c r="E41" s="13"/>
      <c r="F41" s="13"/>
      <c r="G41" s="13"/>
      <c r="H41" s="13"/>
      <c r="I41" s="13"/>
      <c r="J41" s="13"/>
      <c r="K41" s="13"/>
      <c r="L41" s="13"/>
      <c r="M41" s="13"/>
      <c r="N41" s="13"/>
    </row>
    <row r="42" spans="1:14">
      <c r="A42" s="15" t="s">
        <v>69</v>
      </c>
      <c r="B42" s="13">
        <f>'[1]Income - General'!C42+'[1]Income - Fabric'!C43+'[1]Income - FlowerFund'!C43+'[1]Income - SSchoolFund'!C43+'[1]Income - Guild'!C43+'[1]Income - Organ'!C43+'[1]Income - SfSFund'!C43+'[1]Income - Benevolent'!C43+'[1]Income - Friday'!C43</f>
        <v>1202.28</v>
      </c>
      <c r="C42" s="13">
        <f>'[1]Income - General'!D42+'[1]Income - Fabric'!D43+'[1]Income - FlowerFund'!D43+'[1]Income - SSchoolFund'!D43+'[1]Income - Guild'!D43+'[1]Income - Organ'!D43+'[1]Income - SfSFund'!D43+'[1]Income - Benevolent'!D43+'[1]Income - Friday'!D43</f>
        <v>1263.3499999999999</v>
      </c>
      <c r="D42" s="13">
        <f>'[1]Income - General'!E42+'[1]Income - Fabric'!E43+'[1]Income - FlowerFund'!E43+'[1]Income - SSchoolFund'!E43+'[1]Income - Guild'!E43+'[1]Income - Organ'!E43+'[1]Income - SfSFund'!E43+'[1]Income - Benevolent'!E43+'[1]Income - Friday'!E43</f>
        <v>1525.76</v>
      </c>
      <c r="E42" s="13">
        <f>'[1]Income - General'!F42+'[1]Income - Fabric'!F43+'[1]Income - FlowerFund'!F43+'[1]Income - SSchoolFund'!F43+'[1]Income - Guild'!F43+'[1]Income - Organ'!F43+'[1]Income - SfSFund'!F43+'[1]Income - Benevolent'!F43+'[1]Income - Friday'!F43</f>
        <v>1364.5</v>
      </c>
      <c r="F42" s="13">
        <f>'[1]Income - General'!G42+'[1]Income - Fabric'!G43+'[1]Income - FlowerFund'!G43+'[1]Income - SSchoolFund'!G43+'[1]Income - Guild'!G43+'[1]Income - Organ'!G43+'[1]Income - SfSFund'!G43+'[1]Income - Benevolent'!G43+'[1]Income - Friday'!G43</f>
        <v>1516.54</v>
      </c>
      <c r="G42" s="13">
        <f>'[1]Income - General'!H42+'[1]Income - Fabric'!H43+'[1]Income - FlowerFund'!H43+'[1]Income - SSchoolFund'!H43+'[1]Income - Guild'!H43+'[1]Income - Organ'!H43+'[1]Income - SfSFund'!H43+'[1]Income - Benevolent'!H43+'[1]Income - Friday'!H43</f>
        <v>1463.49</v>
      </c>
      <c r="H42" s="13">
        <f>'[1]Income - General'!I42+'[1]Income - Fabric'!I43+'[1]Income - FlowerFund'!I43+'[1]Income - SSchoolFund'!I43+'[1]Income - Guild'!I43+'[1]Income - Organ'!I43+'[1]Income - SfSFund'!I43+'[1]Income - Benevolent'!I43+'[1]Income - Friday'!I43</f>
        <v>1045.58</v>
      </c>
      <c r="I42" s="13">
        <f>'[1]Income - General'!J42+'[1]Income - Fabric'!J43+'[1]Income - FlowerFund'!J43+'[1]Income - SSchoolFund'!J43+'[1]Income - Guild'!J43+'[1]Income - Organ'!J43+'[1]Income - SfSFund'!J43+'[1]Income - Benevolent'!J43+'[1]Income - Friday'!J43</f>
        <v>997.98</v>
      </c>
      <c r="J42" s="13">
        <f>'[1]Income - General'!K42+'[1]Income - Fabric'!K43+'[1]Income - FlowerFund'!K43+'[1]Income - SSchoolFund'!K43+'[1]Income - Guild'!K43+'[1]Income - Organ'!K43+'[1]Income - SfSFund'!K43+'[1]Income - Benevolent'!K43+'[1]Income - Friday'!K43</f>
        <v>998.75</v>
      </c>
      <c r="K42" s="13">
        <f>'[1]Income - General'!L42+'[1]Income - Fabric'!L43+'[1]Income - FlowerFund'!L43+'[1]Income - SSchoolFund'!L43+'[1]Income - Guild'!L43+'[1]Income - Organ'!L43+'[1]Income - SfSFund'!L43+'[1]Income - Benevolent'!L43+'[1]Income - Friday'!L43</f>
        <v>973.13</v>
      </c>
      <c r="L42" s="13">
        <f>'[1]Income - General'!M42+'[1]Income - Fabric'!M43+'[1]Income - FlowerFund'!M43+'[1]Income - SSchoolFund'!M43+'[1]Income - Guild'!M43+'[1]Income - Organ'!M43+'[1]Income - SfSFund'!M43+'[1]Income - Benevolent'!M43+'[1]Income - Friday'!M43</f>
        <v>2083.75</v>
      </c>
      <c r="M42" s="13">
        <f>'[1]Income - General'!N42+'[1]Income - Fabric'!N43+'[1]Income - FlowerFund'!N43+'[1]Income - SSchoolFund'!N43+'[1]Income - Guild'!N43+'[1]Income - Organ'!N43+'[1]Income - SfSFund'!N43+'[1]Income - Benevolent'!N43+'[1]Income - Friday'!N43</f>
        <v>1699.25</v>
      </c>
      <c r="N42" s="13">
        <f>SUM(B42:M42)</f>
        <v>16134.359999999999</v>
      </c>
    </row>
    <row r="43" spans="1:14">
      <c r="A43" s="16" t="s">
        <v>70</v>
      </c>
      <c r="B43" s="27">
        <f>SUM(B42)</f>
        <v>1202.28</v>
      </c>
      <c r="C43" s="27">
        <f t="shared" ref="C43:N43" si="7">SUM(C42)</f>
        <v>1263.3499999999999</v>
      </c>
      <c r="D43" s="27">
        <f t="shared" si="7"/>
        <v>1525.76</v>
      </c>
      <c r="E43" s="27">
        <f t="shared" si="7"/>
        <v>1364.5</v>
      </c>
      <c r="F43" s="27">
        <f t="shared" si="7"/>
        <v>1516.54</v>
      </c>
      <c r="G43" s="27">
        <f t="shared" si="7"/>
        <v>1463.49</v>
      </c>
      <c r="H43" s="27">
        <f t="shared" si="7"/>
        <v>1045.58</v>
      </c>
      <c r="I43" s="27">
        <f t="shared" si="7"/>
        <v>997.98</v>
      </c>
      <c r="J43" s="27">
        <f t="shared" si="7"/>
        <v>998.75</v>
      </c>
      <c r="K43" s="27">
        <f t="shared" si="7"/>
        <v>973.13</v>
      </c>
      <c r="L43" s="27">
        <f t="shared" si="7"/>
        <v>2083.75</v>
      </c>
      <c r="M43" s="27">
        <f t="shared" si="7"/>
        <v>1699.25</v>
      </c>
      <c r="N43" s="27">
        <f t="shared" si="7"/>
        <v>16134.359999999999</v>
      </c>
    </row>
    <row r="44" spans="1:14">
      <c r="A44" s="15"/>
      <c r="B44" s="13"/>
      <c r="C44" s="13"/>
      <c r="D44" s="13"/>
      <c r="E44" s="13"/>
      <c r="F44" s="13"/>
      <c r="G44" s="13"/>
      <c r="H44" s="13"/>
      <c r="I44" s="13"/>
      <c r="J44" s="13"/>
      <c r="K44" s="13"/>
      <c r="L44" s="13"/>
      <c r="M44" s="13"/>
      <c r="N44" s="13"/>
    </row>
    <row r="45" spans="1:14">
      <c r="A45" s="40" t="s">
        <v>71</v>
      </c>
      <c r="B45" s="13"/>
      <c r="C45" s="13"/>
      <c r="D45" s="13"/>
      <c r="E45" s="13"/>
      <c r="F45" s="13"/>
      <c r="G45" s="13"/>
      <c r="H45" s="13"/>
      <c r="I45" s="13"/>
      <c r="J45" s="13"/>
      <c r="K45" s="13"/>
      <c r="L45" s="13"/>
      <c r="M45" s="13"/>
      <c r="N45" s="13"/>
    </row>
    <row r="46" spans="1:14">
      <c r="A46" s="15" t="s">
        <v>72</v>
      </c>
      <c r="B46" s="13">
        <f>'[1]Income - General'!C46+'[1]Income - Fabric'!C47+'[1]Income - FlowerFund'!C47+'[1]Income - SSchoolFund'!C47+'[1]Income - Guild'!C47+'[1]Income - Organ'!C47+'[1]Income - SfSFund'!C47+'[1]Income - Benevolent'!C47+'[1]Income - Friday'!C47</f>
        <v>0</v>
      </c>
      <c r="C46" s="13">
        <f>'[1]Income - General'!D46+'[1]Income - Fabric'!D47+'[1]Income - FlowerFund'!D47+'[1]Income - SSchoolFund'!D47+'[1]Income - Guild'!D47+'[1]Income - Organ'!D47+'[1]Income - SfSFund'!D47+'[1]Income - Benevolent'!D47+'[1]Income - Friday'!D47</f>
        <v>0</v>
      </c>
      <c r="D46" s="13">
        <f>'[1]Income - General'!E46+'[1]Income - Fabric'!E47+'[1]Income - FlowerFund'!E47+'[1]Income - SSchoolFund'!E47+'[1]Income - Guild'!E47+'[1]Income - Organ'!E47+'[1]Income - SfSFund'!E47+'[1]Income - Benevolent'!E47+'[1]Income - Friday'!E47</f>
        <v>0</v>
      </c>
      <c r="E46" s="13">
        <f>'[1]Income - General'!F46+'[1]Income - Fabric'!F47+'[1]Income - FlowerFund'!F47+'[1]Income - SSchoolFund'!F47+'[1]Income - Guild'!F47+'[1]Income - Organ'!F47+'[1]Income - SfSFund'!F47+'[1]Income - Benevolent'!F47+'[1]Income - Friday'!F47</f>
        <v>2319.06</v>
      </c>
      <c r="F46" s="13">
        <f>'[1]Income - General'!G46+'[1]Income - Fabric'!G47+'[1]Income - FlowerFund'!G47+'[1]Income - SSchoolFund'!G47+'[1]Income - Guild'!G47+'[1]Income - Organ'!G47+'[1]Income - SfSFund'!G47+'[1]Income - Benevolent'!G47+'[1]Income - Friday'!G47</f>
        <v>2225.7600000000002</v>
      </c>
      <c r="G46" s="13">
        <f>'[1]Income - General'!H46+'[1]Income - Fabric'!H47+'[1]Income - FlowerFund'!H47+'[1]Income - SSchoolFund'!H47+'[1]Income - Guild'!H47+'[1]Income - Organ'!H47+'[1]Income - SfSFund'!H47+'[1]Income - Benevolent'!H47+'[1]Income - Friday'!H47</f>
        <v>0</v>
      </c>
      <c r="H46" s="13">
        <f>'[1]Income - General'!I46+'[1]Income - Fabric'!I47+'[1]Income - FlowerFund'!I47+'[1]Income - SSchoolFund'!I47+'[1]Income - Guild'!I47+'[1]Income - Organ'!I47+'[1]Income - SfSFund'!I47+'[1]Income - Benevolent'!I47+'[1]Income - Friday'!I47</f>
        <v>0</v>
      </c>
      <c r="I46" s="13">
        <f>'[1]Income - General'!J46+'[1]Income - Fabric'!J47+'[1]Income - FlowerFund'!J47+'[1]Income - SSchoolFund'!J47+'[1]Income - Guild'!J47+'[1]Income - Organ'!J47+'[1]Income - SfSFund'!J47+'[1]Income - Benevolent'!J47+'[1]Income - Friday'!J47</f>
        <v>0</v>
      </c>
      <c r="J46" s="13">
        <f>'[1]Income - General'!K46+'[1]Income - Fabric'!K47+'[1]Income - FlowerFund'!K47+'[1]Income - SSchoolFund'!K47+'[1]Income - Guild'!K47+'[1]Income - Organ'!K47+'[1]Income - SfSFund'!K47+'[1]Income - Benevolent'!K47+'[1]Income - Friday'!K47</f>
        <v>0</v>
      </c>
      <c r="K46" s="13">
        <f>'[1]Income - General'!L46+'[1]Income - Fabric'!L47+'[1]Income - FlowerFund'!L47+'[1]Income - SSchoolFund'!L47+'[1]Income - Guild'!L47+'[1]Income - Organ'!L47+'[1]Income - SfSFund'!L47+'[1]Income - Benevolent'!L47+'[1]Income - Friday'!L47</f>
        <v>0</v>
      </c>
      <c r="L46" s="13">
        <f>'[1]Income - General'!M46+'[1]Income - Fabric'!M47+'[1]Income - FlowerFund'!M47+'[1]Income - SSchoolFund'!M47+'[1]Income - Guild'!M47+'[1]Income - Organ'!M47+'[1]Income - SfSFund'!M47+'[1]Income - Benevolent'!M47+'[1]Income - Friday'!M47</f>
        <v>1240.57</v>
      </c>
      <c r="M46" s="13">
        <f>'[1]Income - General'!N46+'[1]Income - Fabric'!N47+'[1]Income - FlowerFund'!N47+'[1]Income - SSchoolFund'!N47+'[1]Income - Guild'!N47+'[1]Income - Organ'!N47+'[1]Income - SfSFund'!N47+'[1]Income - Benevolent'!N47+'[1]Income - Friday'!N47</f>
        <v>0</v>
      </c>
      <c r="N46" s="13">
        <f>SUM(B46:M46)</f>
        <v>5785.3899999999994</v>
      </c>
    </row>
    <row r="47" spans="1:14">
      <c r="A47" s="15" t="s">
        <v>73</v>
      </c>
      <c r="B47" s="13">
        <f>'[1]Income - General'!C47+'[1]Income - Fabric'!C48+'[1]Income - FlowerFund'!C48+'[1]Income - SSchoolFund'!C48+'[1]Income - Guild'!C48+'[1]Income - Organ'!C48+'[1]Income - SfSFund'!C48+'[1]Income - Benevolent'!C48+'[1]Income - Friday'!C48</f>
        <v>65.599999999999994</v>
      </c>
      <c r="C47" s="13">
        <f>'[1]Income - General'!D47+'[1]Income - Fabric'!D48+'[1]Income - FlowerFund'!D48+'[1]Income - SSchoolFund'!D48+'[1]Income - Guild'!D48+'[1]Income - Organ'!D48+'[1]Income - SfSFund'!D48+'[1]Income - Benevolent'!D48+'[1]Income - Friday'!D48</f>
        <v>53.69</v>
      </c>
      <c r="D47" s="13">
        <f>'[1]Income - General'!E47+'[1]Income - Fabric'!E48+'[1]Income - FlowerFund'!E48+'[1]Income - SSchoolFund'!E48+'[1]Income - Guild'!E48+'[1]Income - Organ'!E48+'[1]Income - SfSFund'!E48+'[1]Income - Benevolent'!E48+'[1]Income - Friday'!E48</f>
        <v>40.36</v>
      </c>
      <c r="E47" s="13">
        <f>'[1]Income - General'!F47+'[1]Income - Fabric'!F48+'[1]Income - FlowerFund'!F48+'[1]Income - SSchoolFund'!F48+'[1]Income - Guild'!F48+'[1]Income - Organ'!F48+'[1]Income - SfSFund'!F48+'[1]Income - Benevolent'!F48+'[1]Income - Friday'!F48</f>
        <v>64.61</v>
      </c>
      <c r="F47" s="13">
        <f>'[1]Income - General'!G47+'[1]Income - Fabric'!G48+'[1]Income - FlowerFund'!G48+'[1]Income - SSchoolFund'!G48+'[1]Income - Guild'!G48+'[1]Income - Organ'!G48+'[1]Income - SfSFund'!G48+'[1]Income - Benevolent'!G48+'[1]Income - Friday'!G48</f>
        <v>54.1</v>
      </c>
      <c r="G47" s="13">
        <f>'[1]Income - General'!H47+'[1]Income - Fabric'!H48+'[1]Income - FlowerFund'!H48+'[1]Income - SSchoolFund'!H48+'[1]Income - Guild'!H48+'[1]Income - Organ'!H48+'[1]Income - SfSFund'!H48+'[1]Income - Benevolent'!H48+'[1]Income - Friday'!H48</f>
        <v>69.61</v>
      </c>
      <c r="H47" s="13">
        <f>'[1]Income - General'!I47+'[1]Income - Fabric'!I48+'[1]Income - FlowerFund'!I48+'[1]Income - SSchoolFund'!I48+'[1]Income - Guild'!I48+'[1]Income - Organ'!I48+'[1]Income - SfSFund'!I48+'[1]Income - Benevolent'!I48+'[1]Income - Friday'!I48</f>
        <v>60.92</v>
      </c>
      <c r="I47" s="13">
        <f>'[1]Income - General'!J47+'[1]Income - Fabric'!J48+'[1]Income - FlowerFund'!J48+'[1]Income - SSchoolFund'!J48+'[1]Income - Guild'!J48+'[1]Income - Organ'!J48+'[1]Income - SfSFund'!J48+'[1]Income - Benevolent'!J48+'[1]Income - Friday'!J48</f>
        <v>34.94</v>
      </c>
      <c r="J47" s="13">
        <f>'[1]Income - General'!K47+'[1]Income - Fabric'!K48+'[1]Income - FlowerFund'!K48+'[1]Income - SSchoolFund'!K48+'[1]Income - Guild'!K48+'[1]Income - Organ'!K48+'[1]Income - SfSFund'!K48+'[1]Income - Benevolent'!K48+'[1]Income - Friday'!K48</f>
        <v>20.25</v>
      </c>
      <c r="K47" s="13">
        <f>'[1]Income - General'!L47+'[1]Income - Fabric'!L48+'[1]Income - FlowerFund'!L48+'[1]Income - SSchoolFund'!L48+'[1]Income - Guild'!L48+'[1]Income - Organ'!L48+'[1]Income - SfSFund'!L48+'[1]Income - Benevolent'!L48+'[1]Income - Friday'!L48</f>
        <v>19.03</v>
      </c>
      <c r="L47" s="13">
        <f>'[1]Income - General'!M47+'[1]Income - Fabric'!M48+'[1]Income - FlowerFund'!M48+'[1]Income - SSchoolFund'!M48+'[1]Income - Guild'!M48+'[1]Income - Organ'!M48+'[1]Income - SfSFund'!M48+'[1]Income - Benevolent'!M48+'[1]Income - Friday'!M48</f>
        <v>32.49</v>
      </c>
      <c r="M47" s="13">
        <f>'[1]Income - General'!N47+'[1]Income - Fabric'!N48+'[1]Income - FlowerFund'!N48+'[1]Income - SSchoolFund'!N48+'[1]Income - Guild'!N48+'[1]Income - Organ'!N48+'[1]Income - SfSFund'!N48+'[1]Income - Benevolent'!N48+'[1]Income - Friday'!N48</f>
        <v>41.88</v>
      </c>
      <c r="N47" s="13">
        <f>SUM(B47:M47)</f>
        <v>557.48</v>
      </c>
    </row>
    <row r="48" spans="1:14">
      <c r="A48" s="16" t="s">
        <v>74</v>
      </c>
      <c r="B48" s="27">
        <f>SUM(B46:B47)</f>
        <v>65.599999999999994</v>
      </c>
      <c r="C48" s="27">
        <f t="shared" ref="C48:N48" si="8">SUM(C46:C47)</f>
        <v>53.69</v>
      </c>
      <c r="D48" s="27">
        <f t="shared" si="8"/>
        <v>40.36</v>
      </c>
      <c r="E48" s="27">
        <f t="shared" si="8"/>
        <v>2383.67</v>
      </c>
      <c r="F48" s="27">
        <f t="shared" si="8"/>
        <v>2279.86</v>
      </c>
      <c r="G48" s="27">
        <f t="shared" si="8"/>
        <v>69.61</v>
      </c>
      <c r="H48" s="27">
        <f t="shared" si="8"/>
        <v>60.92</v>
      </c>
      <c r="I48" s="27">
        <f t="shared" si="8"/>
        <v>34.94</v>
      </c>
      <c r="J48" s="27">
        <f t="shared" si="8"/>
        <v>20.25</v>
      </c>
      <c r="K48" s="27">
        <f t="shared" si="8"/>
        <v>19.03</v>
      </c>
      <c r="L48" s="27">
        <f t="shared" si="8"/>
        <v>1273.06</v>
      </c>
      <c r="M48" s="27">
        <f t="shared" si="8"/>
        <v>41.88</v>
      </c>
      <c r="N48" s="27">
        <f t="shared" si="8"/>
        <v>6342.869999999999</v>
      </c>
    </row>
    <row r="49" spans="1:17">
      <c r="B49" s="13"/>
      <c r="C49" s="13"/>
      <c r="D49" s="13"/>
      <c r="E49" s="13"/>
      <c r="F49" s="13"/>
      <c r="G49" s="13"/>
      <c r="H49" s="13"/>
      <c r="I49" s="13"/>
      <c r="J49" s="13"/>
      <c r="K49" s="13"/>
      <c r="L49" s="13"/>
      <c r="M49" s="13"/>
      <c r="N49" s="13"/>
    </row>
    <row r="50" spans="1:17" ht="14.65" thickBot="1">
      <c r="A50" s="7" t="s">
        <v>75</v>
      </c>
      <c r="B50" s="28">
        <f>B48+B43+B39</f>
        <v>15103.23</v>
      </c>
      <c r="C50" s="28">
        <f t="shared" ref="C50:N50" si="9">C48+C43+C39</f>
        <v>12131.720000000001</v>
      </c>
      <c r="D50" s="28">
        <f t="shared" si="9"/>
        <v>11918.220000000001</v>
      </c>
      <c r="E50" s="28">
        <f t="shared" si="9"/>
        <v>19134.68</v>
      </c>
      <c r="F50" s="28">
        <f t="shared" si="9"/>
        <v>16999.3</v>
      </c>
      <c r="G50" s="28">
        <f t="shared" si="9"/>
        <v>11454.67</v>
      </c>
      <c r="H50" s="28">
        <f t="shared" si="9"/>
        <v>15624.189999999999</v>
      </c>
      <c r="I50" s="28">
        <f t="shared" si="9"/>
        <v>10650.25</v>
      </c>
      <c r="J50" s="28">
        <f t="shared" si="9"/>
        <v>10754.66</v>
      </c>
      <c r="K50" s="28">
        <f t="shared" si="9"/>
        <v>15921.130000000001</v>
      </c>
      <c r="L50" s="28">
        <f t="shared" si="9"/>
        <v>17009.41</v>
      </c>
      <c r="M50" s="28">
        <f t="shared" si="9"/>
        <v>12364.439999999999</v>
      </c>
      <c r="N50" s="28">
        <f t="shared" si="9"/>
        <v>169065.90000000002</v>
      </c>
    </row>
    <row r="51" spans="1:17">
      <c r="B51" s="13"/>
      <c r="C51" s="13"/>
      <c r="D51" s="13"/>
      <c r="E51" s="13"/>
      <c r="F51" s="13"/>
      <c r="G51" s="13"/>
      <c r="H51" s="13"/>
      <c r="I51" s="13"/>
      <c r="J51" s="13"/>
      <c r="K51" s="13"/>
      <c r="L51" s="13"/>
      <c r="M51" s="13"/>
      <c r="N51" s="13"/>
    </row>
    <row r="52" spans="1:17">
      <c r="A52" s="1" t="s">
        <v>76</v>
      </c>
      <c r="B52" s="13"/>
      <c r="C52" s="13"/>
      <c r="D52" s="13"/>
      <c r="E52" s="13"/>
      <c r="F52" s="13"/>
      <c r="G52" s="13"/>
      <c r="H52" s="13"/>
      <c r="I52" s="13"/>
      <c r="J52" s="13"/>
      <c r="K52" s="13"/>
      <c r="L52" s="13"/>
      <c r="M52" s="13"/>
      <c r="N52" s="13"/>
    </row>
    <row r="53" spans="1:17">
      <c r="A53" s="15" t="s">
        <v>77</v>
      </c>
      <c r="B53" s="13">
        <f>'[1]Income - General'!C53+'[1]Income - Fabric'!C54+'[1]Income - FlowerFund'!C54+'[1]Income - SSchoolFund'!C54+'[1]Income - Guild'!C54+'[1]Income - Organ'!C54+'[1]Income - SfSFund'!C54+'[1]Income - Benevolent'!C54+'[1]Income - Friday'!C54</f>
        <v>0</v>
      </c>
      <c r="C53" s="13">
        <f>'[1]Income - General'!D53+'[1]Income - Fabric'!D54+'[1]Income - FlowerFund'!D54+'[1]Income - SSchoolFund'!D54+'[1]Income - Guild'!D54+'[1]Income - Organ'!D54+'[1]Income - SfSFund'!D54+'[1]Income - Benevolent'!D54+'[1]Income - Friday'!D54</f>
        <v>300</v>
      </c>
      <c r="D53" s="13">
        <f>'[1]Income - General'!E53+'[1]Income - Fabric'!E54+'[1]Income - FlowerFund'!E54+'[1]Income - SSchoolFund'!E54+'[1]Income - Guild'!E54+'[1]Income - Organ'!E54+'[1]Income - SfSFund'!E54+'[1]Income - Benevolent'!E54+'[1]Income - Friday'!E54</f>
        <v>300</v>
      </c>
      <c r="E53" s="13">
        <f>'[1]Income - General'!F53+'[1]Income - Fabric'!F54+'[1]Income - FlowerFund'!F54+'[1]Income - SSchoolFund'!F54+'[1]Income - Guild'!F54+'[1]Income - Organ'!F54+'[1]Income - SfSFund'!F54+'[1]Income - Benevolent'!F54+'[1]Income - Friday'!F54</f>
        <v>0</v>
      </c>
      <c r="F53" s="13">
        <f>'[1]Income - General'!G53+'[1]Income - Fabric'!G54+'[1]Income - FlowerFund'!G54+'[1]Income - SSchoolFund'!G54+'[1]Income - Guild'!G54+'[1]Income - Organ'!G54+'[1]Income - SfSFund'!G54+'[1]Income - Benevolent'!G54+'[1]Income - Friday'!G54</f>
        <v>0</v>
      </c>
      <c r="G53" s="13">
        <f>'[1]Income - General'!H53+'[1]Income - Fabric'!H54+'[1]Income - FlowerFund'!H54+'[1]Income - SSchoolFund'!H54+'[1]Income - Guild'!H54+'[1]Income - Organ'!H54+'[1]Income - SfSFund'!H54+'[1]Income - Benevolent'!H54+'[1]Income - Friday'!H54</f>
        <v>600</v>
      </c>
      <c r="H53" s="13">
        <f>'[1]Income - General'!I53+'[1]Income - Fabric'!I54+'[1]Income - FlowerFund'!I54+'[1]Income - SSchoolFund'!I54+'[1]Income - Guild'!I54+'[1]Income - Organ'!I54+'[1]Income - SfSFund'!I54+'[1]Income - Benevolent'!I54+'[1]Income - Friday'!I54</f>
        <v>0</v>
      </c>
      <c r="I53" s="13">
        <f>'[1]Income - General'!J53+'[1]Income - Fabric'!J54+'[1]Income - FlowerFund'!J54+'[1]Income - SSchoolFund'!J54+'[1]Income - Guild'!J54+'[1]Income - Organ'!J54+'[1]Income - SfSFund'!J54+'[1]Income - Benevolent'!J54+'[1]Income - Friday'!J54</f>
        <v>530</v>
      </c>
      <c r="J53" s="13">
        <f>'[1]Income - General'!K53+'[1]Income - Fabric'!K54+'[1]Income - FlowerFund'!K54+'[1]Income - SSchoolFund'!K54+'[1]Income - Guild'!K54+'[1]Income - Organ'!K54+'[1]Income - SfSFund'!K54+'[1]Income - Benevolent'!K54+'[1]Income - Friday'!K54</f>
        <v>275</v>
      </c>
      <c r="K53" s="13">
        <f>'[1]Income - General'!L53+'[1]Income - Fabric'!L54+'[1]Income - FlowerFund'!L54+'[1]Income - SSchoolFund'!L54+'[1]Income - Guild'!L54+'[1]Income - Organ'!L54+'[1]Income - SfSFund'!L54+'[1]Income - Benevolent'!L54+'[1]Income - Friday'!L54</f>
        <v>0</v>
      </c>
      <c r="L53" s="13">
        <f>'[1]Income - General'!M53+'[1]Income - Fabric'!M54+'[1]Income - FlowerFund'!M54+'[1]Income - SSchoolFund'!M54+'[1]Income - Guild'!M54+'[1]Income - Organ'!M54+'[1]Income - SfSFund'!M54+'[1]Income - Benevolent'!M54+'[1]Income - Friday'!M54</f>
        <v>0</v>
      </c>
      <c r="M53" s="13">
        <f>'[1]Income - General'!N53+'[1]Income - Fabric'!N54+'[1]Income - FlowerFund'!N54+'[1]Income - SSchoolFund'!N54+'[1]Income - Guild'!N54+'[1]Income - Organ'!N54+'[1]Income - SfSFund'!N54+'[1]Income - Benevolent'!N54+'[1]Income - Friday'!N54</f>
        <v>0</v>
      </c>
      <c r="N53" s="13">
        <f t="shared" ref="N53:N57" si="10">SUM(B53:M53)</f>
        <v>2005</v>
      </c>
      <c r="Q53" s="19"/>
    </row>
    <row r="54" spans="1:17">
      <c r="A54" s="15" t="s">
        <v>378</v>
      </c>
      <c r="B54" s="13">
        <f>'[1]Income - General'!C54+'[1]Income - Fabric'!C55+'[1]Income - FlowerFund'!C55+'[1]Income - SSchoolFund'!C55+'[1]Income - Guild'!C55+'[1]Income - Organ'!C55+'[1]Income - SfSFund'!C55+'[1]Income - Benevolent'!C55+'[1]Income - Friday'!C55</f>
        <v>0</v>
      </c>
      <c r="C54" s="13">
        <f>'[1]Income - General'!D54+'[1]Income - Fabric'!D55+'[1]Income - FlowerFund'!D55+'[1]Income - SSchoolFund'!D55+'[1]Income - Guild'!D55+'[1]Income - Organ'!D55+'[1]Income - SfSFund'!D55+'[1]Income - Benevolent'!D55+'[1]Income - Friday'!D55</f>
        <v>0</v>
      </c>
      <c r="D54" s="13">
        <f>'[1]Income - General'!E54+'[1]Income - Fabric'!E55+'[1]Income - FlowerFund'!E55+'[1]Income - SSchoolFund'!E55+'[1]Income - Guild'!E55+'[1]Income - Organ'!E55+'[1]Income - SfSFund'!E55+'[1]Income - Benevolent'!E55+'[1]Income - Friday'!E55</f>
        <v>0</v>
      </c>
      <c r="E54" s="13">
        <f>'[1]Income - General'!F54+'[1]Income - Fabric'!F55+'[1]Income - FlowerFund'!F55+'[1]Income - SSchoolFund'!F55+'[1]Income - Guild'!F55+'[1]Income - Organ'!F55+'[1]Income - SfSFund'!F55+'[1]Income - Benevolent'!F55+'[1]Income - Friday'!F55</f>
        <v>0</v>
      </c>
      <c r="F54" s="13">
        <f>'[1]Income - General'!G54+'[1]Income - Fabric'!G55+'[1]Income - FlowerFund'!G55+'[1]Income - SSchoolFund'!G55+'[1]Income - Guild'!G55+'[1]Income - Organ'!G55+'[1]Income - SfSFund'!G55+'[1]Income - Benevolent'!G55+'[1]Income - Friday'!G55</f>
        <v>0</v>
      </c>
      <c r="G54" s="13">
        <f>'[1]Income - General'!H54+'[1]Income - Fabric'!H55+'[1]Income - FlowerFund'!H55+'[1]Income - SSchoolFund'!H55+'[1]Income - Guild'!H55+'[1]Income - Organ'!H55+'[1]Income - SfSFund'!H55+'[1]Income - Benevolent'!H55+'[1]Income - Friday'!H55</f>
        <v>0</v>
      </c>
      <c r="H54" s="13">
        <f>'[1]Income - General'!I54+'[1]Income - Fabric'!I55+'[1]Income - FlowerFund'!I55+'[1]Income - SSchoolFund'!I55+'[1]Income - Guild'!I55+'[1]Income - Organ'!I55+'[1]Income - SfSFund'!I55+'[1]Income - Benevolent'!I55+'[1]Income - Friday'!I55</f>
        <v>0</v>
      </c>
      <c r="I54" s="13">
        <f>'[1]Income - General'!J54+'[1]Income - Fabric'!J55+'[1]Income - FlowerFund'!J55+'[1]Income - SSchoolFund'!J55+'[1]Income - Guild'!J55+'[1]Income - Organ'!J55+'[1]Income - SfSFund'!J55+'[1]Income - Benevolent'!J55+'[1]Income - Friday'!J55</f>
        <v>0</v>
      </c>
      <c r="J54" s="13">
        <f>'[1]Income - General'!K54+'[1]Income - Fabric'!K55+'[1]Income - FlowerFund'!K55+'[1]Income - SSchoolFund'!K55+'[1]Income - Guild'!K55+'[1]Income - Organ'!K55+'[1]Income - SfSFund'!K55+'[1]Income - Benevolent'!K55+'[1]Income - Friday'!K55</f>
        <v>0</v>
      </c>
      <c r="K54" s="13">
        <f>'[1]Income - General'!L54+'[1]Income - Fabric'!L55+'[1]Income - FlowerFund'!L55+'[1]Income - SSchoolFund'!L55+'[1]Income - Guild'!L55+'[1]Income - Organ'!L55+'[1]Income - SfSFund'!L55+'[1]Income - Benevolent'!L55+'[1]Income - Friday'!L55</f>
        <v>0</v>
      </c>
      <c r="L54" s="13">
        <f>'[1]Income - General'!M54+'[1]Income - Fabric'!M55+'[1]Income - FlowerFund'!M55+'[1]Income - SSchoolFund'!M55+'[1]Income - Guild'!M55+'[1]Income - Organ'!M55+'[1]Income - SfSFund'!M55+'[1]Income - Benevolent'!M55+'[1]Income - Friday'!M55</f>
        <v>0</v>
      </c>
      <c r="M54" s="13">
        <f>'[1]Income - General'!N54+'[1]Income - Fabric'!N55+'[1]Income - FlowerFund'!N55+'[1]Income - SSchoolFund'!N55+'[1]Income - Guild'!N55+'[1]Income - Organ'!N55+'[1]Income - SfSFund'!N55+'[1]Income - Benevolent'!N55+'[1]Income - Friday'!N55</f>
        <v>0</v>
      </c>
      <c r="N54" s="13">
        <f t="shared" si="10"/>
        <v>0</v>
      </c>
    </row>
    <row r="55" spans="1:17">
      <c r="A55" s="15" t="s">
        <v>79</v>
      </c>
      <c r="B55" s="13">
        <f>'[1]Income - General'!C55+'[1]Income - Fabric'!C56+'[1]Income - FlowerFund'!C56+'[1]Income - SSchoolFund'!C56+'[1]Income - Guild'!C56+'[1]Income - Organ'!C56+'[1]Income - SfSFund'!C56+'[1]Income - Benevolent'!C56+'[1]Income - Friday'!C56</f>
        <v>0</v>
      </c>
      <c r="C55" s="13">
        <f>'[1]Income - General'!D55+'[1]Income - Fabric'!D56+'[1]Income - FlowerFund'!D56+'[1]Income - SSchoolFund'!D56+'[1]Income - Guild'!D56+'[1]Income - Organ'!D56+'[1]Income - SfSFund'!D56+'[1]Income - Benevolent'!D56+'[1]Income - Friday'!D56</f>
        <v>0</v>
      </c>
      <c r="D55" s="13">
        <f>'[1]Income - General'!E55+'[1]Income - Fabric'!E56+'[1]Income - FlowerFund'!E56+'[1]Income - SSchoolFund'!E56+'[1]Income - Guild'!E56+'[1]Income - Organ'!E56+'[1]Income - SfSFund'!E56+'[1]Income - Benevolent'!E56+'[1]Income - Friday'!E56</f>
        <v>0</v>
      </c>
      <c r="E55" s="13">
        <f>'[1]Income - General'!F55+'[1]Income - Fabric'!F56+'[1]Income - FlowerFund'!F56+'[1]Income - SSchoolFund'!F56+'[1]Income - Guild'!F56+'[1]Income - Organ'!F56+'[1]Income - SfSFund'!F56+'[1]Income - Benevolent'!F56+'[1]Income - Friday'!F56</f>
        <v>0</v>
      </c>
      <c r="F55" s="13">
        <f>'[1]Income - General'!G55+'[1]Income - Fabric'!G56+'[1]Income - FlowerFund'!G56+'[1]Income - SSchoolFund'!G56+'[1]Income - Guild'!G56+'[1]Income - Organ'!G56+'[1]Income - SfSFund'!G56+'[1]Income - Benevolent'!G56+'[1]Income - Friday'!G56</f>
        <v>0</v>
      </c>
      <c r="G55" s="13">
        <f>'[1]Income - General'!H55+'[1]Income - Fabric'!H56+'[1]Income - FlowerFund'!H56+'[1]Income - SSchoolFund'!H56+'[1]Income - Guild'!H56+'[1]Income - Organ'!H56+'[1]Income - SfSFund'!H56+'[1]Income - Benevolent'!H56+'[1]Income - Friday'!H56</f>
        <v>0</v>
      </c>
      <c r="H55" s="13">
        <f>'[1]Income - General'!I55+'[1]Income - Fabric'!I56+'[1]Income - FlowerFund'!I56+'[1]Income - SSchoolFund'!I56+'[1]Income - Guild'!I56+'[1]Income - Organ'!I56+'[1]Income - SfSFund'!I56+'[1]Income - Benevolent'!I56+'[1]Income - Friday'!I56</f>
        <v>0</v>
      </c>
      <c r="I55" s="13">
        <f>'[1]Income - General'!J55+'[1]Income - Fabric'!J56+'[1]Income - FlowerFund'!J56+'[1]Income - SSchoolFund'!J56+'[1]Income - Guild'!J56+'[1]Income - Organ'!J56+'[1]Income - SfSFund'!J56+'[1]Income - Benevolent'!J56+'[1]Income - Friday'!J56</f>
        <v>0</v>
      </c>
      <c r="J55" s="13">
        <f>'[1]Income - General'!K55+'[1]Income - Fabric'!K56+'[1]Income - FlowerFund'!K56+'[1]Income - SSchoolFund'!K56+'[1]Income - Guild'!K56+'[1]Income - Organ'!K56+'[1]Income - SfSFund'!K56+'[1]Income - Benevolent'!K56+'[1]Income - Friday'!K56</f>
        <v>0</v>
      </c>
      <c r="K55" s="13">
        <f>'[1]Income - General'!L55+'[1]Income - Fabric'!L56+'[1]Income - FlowerFund'!L56+'[1]Income - SSchoolFund'!L56+'[1]Income - Guild'!L56+'[1]Income - Organ'!L56+'[1]Income - SfSFund'!L56+'[1]Income - Benevolent'!L56+'[1]Income - Friday'!L56</f>
        <v>0</v>
      </c>
      <c r="L55" s="13">
        <f>'[1]Income - General'!M55+'[1]Income - Fabric'!M56+'[1]Income - FlowerFund'!M56+'[1]Income - SSchoolFund'!M56+'[1]Income - Guild'!M56+'[1]Income - Organ'!M56+'[1]Income - SfSFund'!M56+'[1]Income - Benevolent'!M56+'[1]Income - Friday'!M56</f>
        <v>0</v>
      </c>
      <c r="M55" s="13">
        <f>'[1]Income - General'!N55+'[1]Income - Fabric'!N56+'[1]Income - FlowerFund'!N56+'[1]Income - SSchoolFund'!N56+'[1]Income - Guild'!N56+'[1]Income - Organ'!N56+'[1]Income - SfSFund'!N56+'[1]Income - Benevolent'!N56+'[1]Income - Friday'!N56</f>
        <v>0</v>
      </c>
      <c r="N55" s="13">
        <f t="shared" si="10"/>
        <v>0</v>
      </c>
    </row>
    <row r="56" spans="1:17">
      <c r="A56" s="15" t="s">
        <v>158</v>
      </c>
      <c r="B56" s="13">
        <f>'[1]Income - General'!C56+'[1]Income - Fabric'!C57+'[1]Income - FlowerFund'!C57+'[1]Income - SSchoolFund'!C57+'[1]Income - Guild'!C57+'[1]Income - Organ'!C57+'[1]Income - SfSFund'!C57+'[1]Income - Benevolent'!C57+'[1]Income - Friday'!C57</f>
        <v>0</v>
      </c>
      <c r="C56" s="13">
        <f>'[1]Income - General'!D56+'[1]Income - Fabric'!D57+'[1]Income - FlowerFund'!D57+'[1]Income - SSchoolFund'!D57+'[1]Income - Guild'!D57+'[1]Income - Organ'!D57+'[1]Income - SfSFund'!D57+'[1]Income - Benevolent'!D57+'[1]Income - Friday'!D57</f>
        <v>0</v>
      </c>
      <c r="D56" s="13">
        <f>'[1]Income - General'!E56+'[1]Income - Fabric'!E57+'[1]Income - FlowerFund'!E57+'[1]Income - SSchoolFund'!E57+'[1]Income - Guild'!E57+'[1]Income - Organ'!E57+'[1]Income - SfSFund'!E57+'[1]Income - Benevolent'!E57+'[1]Income - Friday'!E57</f>
        <v>0</v>
      </c>
      <c r="E56" s="13">
        <f>'[1]Income - General'!F56+'[1]Income - Fabric'!F57+'[1]Income - FlowerFund'!F57+'[1]Income - SSchoolFund'!F57+'[1]Income - Guild'!F57+'[1]Income - Organ'!F57+'[1]Income - SfSFund'!F57+'[1]Income - Benevolent'!F57+'[1]Income - Friday'!F57</f>
        <v>4.92</v>
      </c>
      <c r="F56" s="13">
        <f>'[1]Income - General'!G56+'[1]Income - Fabric'!G57+'[1]Income - FlowerFund'!G57+'[1]Income - SSchoolFund'!G57+'[1]Income - Guild'!G57+'[1]Income - Organ'!G57+'[1]Income - SfSFund'!G57+'[1]Income - Benevolent'!G57+'[1]Income - Friday'!G57</f>
        <v>0</v>
      </c>
      <c r="G56" s="13">
        <f>'[1]Income - General'!H56+'[1]Income - Fabric'!H57+'[1]Income - FlowerFund'!H57+'[1]Income - SSchoolFund'!H57+'[1]Income - Guild'!H57+'[1]Income - Organ'!H57+'[1]Income - SfSFund'!H57+'[1]Income - Benevolent'!H57+'[1]Income - Friday'!H57</f>
        <v>20</v>
      </c>
      <c r="H56" s="13">
        <f>'[1]Income - General'!I56+'[1]Income - Fabric'!I57+'[1]Income - FlowerFund'!I57+'[1]Income - SSchoolFund'!I57+'[1]Income - Guild'!I57+'[1]Income - Organ'!I57+'[1]Income - SfSFund'!I57+'[1]Income - Benevolent'!I57+'[1]Income - Friday'!I57</f>
        <v>1000</v>
      </c>
      <c r="I56" s="13">
        <f>'[1]Income - General'!J56+'[1]Income - Fabric'!J57+'[1]Income - FlowerFund'!J57+'[1]Income - SSchoolFund'!J57+'[1]Income - Guild'!J57+'[1]Income - Organ'!J57+'[1]Income - SfSFund'!J57+'[1]Income - Benevolent'!J57+'[1]Income - Friday'!J57</f>
        <v>0</v>
      </c>
      <c r="J56" s="13">
        <f>'[1]Income - General'!K56+'[1]Income - Fabric'!K57+'[1]Income - FlowerFund'!K57+'[1]Income - SSchoolFund'!K57+'[1]Income - Guild'!K57+'[1]Income - Organ'!K57+'[1]Income - SfSFund'!K57+'[1]Income - Benevolent'!K57+'[1]Income - Friday'!K57</f>
        <v>0</v>
      </c>
      <c r="K56" s="13">
        <f>'[1]Income - General'!L56+'[1]Income - Fabric'!L57+'[1]Income - FlowerFund'!L57+'[1]Income - SSchoolFund'!L57+'[1]Income - Guild'!L57+'[1]Income - Organ'!L57+'[1]Income - SfSFund'!L57+'[1]Income - Benevolent'!L57+'[1]Income - Friday'!L57</f>
        <v>0</v>
      </c>
      <c r="L56" s="13">
        <f>'[1]Income - General'!M56+'[1]Income - Fabric'!M57+'[1]Income - FlowerFund'!M57+'[1]Income - SSchoolFund'!M57+'[1]Income - Guild'!M57+'[1]Income - Organ'!M57+'[1]Income - SfSFund'!M57+'[1]Income - Benevolent'!M57+'[1]Income - Friday'!M57</f>
        <v>0</v>
      </c>
      <c r="M56" s="13">
        <f>'[1]Income - General'!N56+'[1]Income - Fabric'!N57+'[1]Income - FlowerFund'!N57+'[1]Income - SSchoolFund'!N57+'[1]Income - Guild'!N57+'[1]Income - Organ'!N57+'[1]Income - SfSFund'!N57+'[1]Income - Benevolent'!N57+'[1]Income - Friday'!N57</f>
        <v>50</v>
      </c>
      <c r="N56" s="13">
        <f t="shared" si="10"/>
        <v>1074.92</v>
      </c>
    </row>
    <row r="57" spans="1:17">
      <c r="A57" s="15" t="s">
        <v>81</v>
      </c>
      <c r="B57" s="13">
        <f>'[1]Income - General'!C58+'[1]Income - Fabric'!C59+'[1]Income - FlowerFund'!C59+'[1]Income - SSchoolFund'!C59+'[1]Income - Guild'!C59+'[1]Income - Organ'!C59+'[1]Income - SfSFund'!C59+'[1]Income - Benevolent'!C59+'[1]Income - Friday'!C59</f>
        <v>0</v>
      </c>
      <c r="C57" s="13">
        <f>'[1]Income - General'!D58+'[1]Income - Fabric'!D59+'[1]Income - FlowerFund'!D59+'[1]Income - SSchoolFund'!D59+'[1]Income - Guild'!D59+'[1]Income - Organ'!D59+'[1]Income - SfSFund'!D59+'[1]Income - Benevolent'!D59+'[1]Income - Friday'!D59</f>
        <v>0</v>
      </c>
      <c r="D57" s="13">
        <f>'[1]Income - General'!E58+'[1]Income - Fabric'!E59+'[1]Income - FlowerFund'!E59+'[1]Income - SSchoolFund'!E59+'[1]Income - Guild'!E59+'[1]Income - Organ'!E59+'[1]Income - SfSFund'!E59+'[1]Income - Benevolent'!E59+'[1]Income - Friday'!E59</f>
        <v>0</v>
      </c>
      <c r="E57" s="13">
        <f>'[1]Income - General'!F58+'[1]Income - Fabric'!F59+'[1]Income - FlowerFund'!F59+'[1]Income - SSchoolFund'!F59+'[1]Income - Guild'!F59+'[1]Income - Organ'!F59+'[1]Income - SfSFund'!F59+'[1]Income - Benevolent'!F59+'[1]Income - Friday'!F59</f>
        <v>0</v>
      </c>
      <c r="F57" s="13">
        <f>'[1]Income - General'!G58+'[1]Income - Fabric'!G59+'[1]Income - FlowerFund'!G59+'[1]Income - SSchoolFund'!G59+'[1]Income - Guild'!G59+'[1]Income - Organ'!G59+'[1]Income - SfSFund'!G59+'[1]Income - Benevolent'!G59+'[1]Income - Friday'!G59</f>
        <v>0</v>
      </c>
      <c r="G57" s="13">
        <f>'[1]Income - General'!H58+'[1]Income - Fabric'!H59+'[1]Income - FlowerFund'!H59+'[1]Income - SSchoolFund'!H59+'[1]Income - Guild'!H59+'[1]Income - Organ'!H59+'[1]Income - SfSFund'!H59+'[1]Income - Benevolent'!H59+'[1]Income - Friday'!H59</f>
        <v>0</v>
      </c>
      <c r="H57" s="13">
        <f>'[1]Income - General'!I58+'[1]Income - Fabric'!I59+'[1]Income - FlowerFund'!I59+'[1]Income - SSchoolFund'!I59+'[1]Income - Guild'!I59+'[1]Income - Organ'!I59+'[1]Income - SfSFund'!I59+'[1]Income - Benevolent'!I59+'[1]Income - Friday'!I59</f>
        <v>100</v>
      </c>
      <c r="I57" s="13">
        <f>'[1]Income - General'!J58+'[1]Income - Fabric'!J59+'[1]Income - FlowerFund'!J59+'[1]Income - SSchoolFund'!J59+'[1]Income - Guild'!J59+'[1]Income - Organ'!J59+'[1]Income - SfSFund'!J59+'[1]Income - Benevolent'!J59+'[1]Income - Friday'!J59</f>
        <v>0</v>
      </c>
      <c r="J57" s="13">
        <f>'[1]Income - General'!K58+'[1]Income - Fabric'!K59+'[1]Income - FlowerFund'!K59+'[1]Income - SSchoolFund'!K59+'[1]Income - Guild'!K59+'[1]Income - Organ'!K59+'[1]Income - SfSFund'!K59+'[1]Income - Benevolent'!K59+'[1]Income - Friday'!K59</f>
        <v>2500</v>
      </c>
      <c r="K57" s="13">
        <f>'[1]Income - General'!L58+'[1]Income - Fabric'!L59+'[1]Income - FlowerFund'!L59+'[1]Income - SSchoolFund'!L59+'[1]Income - Guild'!L59+'[1]Income - Organ'!L59+'[1]Income - SfSFund'!L59+'[1]Income - Benevolent'!L59+'[1]Income - Friday'!L59</f>
        <v>0</v>
      </c>
      <c r="L57" s="13">
        <f>'[1]Income - General'!M58+'[1]Income - Fabric'!M59+'[1]Income - FlowerFund'!M59+'[1]Income - SSchoolFund'!M59+'[1]Income - Guild'!M59+'[1]Income - Organ'!M59+'[1]Income - SfSFund'!M59+'[1]Income - Benevolent'!M59+'[1]Income - Friday'!M59</f>
        <v>0</v>
      </c>
      <c r="M57" s="13">
        <f>'[1]Income - General'!N58+'[1]Income - Fabric'!N59+'[1]Income - FlowerFund'!N59+'[1]Income - SSchoolFund'!N59+'[1]Income - Guild'!N59+'[1]Income - Organ'!N59+'[1]Income - SfSFund'!N59+'[1]Income - Benevolent'!N59+'[1]Income - Friday'!N59</f>
        <v>0</v>
      </c>
      <c r="N57" s="13">
        <f t="shared" si="10"/>
        <v>2600</v>
      </c>
    </row>
    <row r="58" spans="1:17" ht="14.65" thickBot="1">
      <c r="A58" s="7" t="s">
        <v>82</v>
      </c>
      <c r="B58" s="29">
        <f t="shared" ref="B58:N58" si="11">SUM(B53:B57)</f>
        <v>0</v>
      </c>
      <c r="C58" s="29">
        <f t="shared" si="11"/>
        <v>300</v>
      </c>
      <c r="D58" s="29">
        <f t="shared" si="11"/>
        <v>300</v>
      </c>
      <c r="E58" s="29">
        <f t="shared" si="11"/>
        <v>4.92</v>
      </c>
      <c r="F58" s="29">
        <f t="shared" si="11"/>
        <v>0</v>
      </c>
      <c r="G58" s="29">
        <f t="shared" si="11"/>
        <v>620</v>
      </c>
      <c r="H58" s="29">
        <f t="shared" si="11"/>
        <v>1100</v>
      </c>
      <c r="I58" s="29">
        <f t="shared" si="11"/>
        <v>530</v>
      </c>
      <c r="J58" s="29">
        <f t="shared" si="11"/>
        <v>2775</v>
      </c>
      <c r="K58" s="29">
        <f t="shared" si="11"/>
        <v>0</v>
      </c>
      <c r="L58" s="29">
        <f t="shared" si="11"/>
        <v>0</v>
      </c>
      <c r="M58" s="29">
        <f t="shared" si="11"/>
        <v>50</v>
      </c>
      <c r="N58" s="29">
        <f t="shared" si="11"/>
        <v>5679.92</v>
      </c>
    </row>
    <row r="59" spans="1:17">
      <c r="B59" s="13"/>
      <c r="C59" s="13"/>
      <c r="D59" s="13"/>
      <c r="E59" s="13"/>
      <c r="F59" s="13"/>
      <c r="G59" s="13"/>
      <c r="H59" s="13"/>
      <c r="I59" s="13"/>
      <c r="J59" s="13"/>
      <c r="K59" s="13"/>
      <c r="L59" s="13"/>
      <c r="M59" s="13"/>
      <c r="N59" s="13"/>
    </row>
    <row r="60" spans="1:17" ht="14.65" thickBot="1">
      <c r="A60" s="7" t="s">
        <v>83</v>
      </c>
      <c r="B60" s="29">
        <f t="shared" ref="B60:N60" si="12">B50+B58</f>
        <v>15103.23</v>
      </c>
      <c r="C60" s="29">
        <f t="shared" si="12"/>
        <v>12431.720000000001</v>
      </c>
      <c r="D60" s="29">
        <f t="shared" si="12"/>
        <v>12218.220000000001</v>
      </c>
      <c r="E60" s="29">
        <f t="shared" si="12"/>
        <v>19139.599999999999</v>
      </c>
      <c r="F60" s="29">
        <f t="shared" si="12"/>
        <v>16999.3</v>
      </c>
      <c r="G60" s="29">
        <f t="shared" si="12"/>
        <v>12074.67</v>
      </c>
      <c r="H60" s="29">
        <f t="shared" si="12"/>
        <v>16724.189999999999</v>
      </c>
      <c r="I60" s="29">
        <f t="shared" si="12"/>
        <v>11180.25</v>
      </c>
      <c r="J60" s="29">
        <f t="shared" si="12"/>
        <v>13529.66</v>
      </c>
      <c r="K60" s="29">
        <f t="shared" si="12"/>
        <v>15921.130000000001</v>
      </c>
      <c r="L60" s="29">
        <f t="shared" si="12"/>
        <v>17009.41</v>
      </c>
      <c r="M60" s="29">
        <f t="shared" si="12"/>
        <v>12414.439999999999</v>
      </c>
      <c r="N60" s="29">
        <f t="shared" si="12"/>
        <v>174745.82000000004</v>
      </c>
    </row>
    <row r="61" spans="1:17">
      <c r="B61" s="13"/>
      <c r="C61" s="13"/>
      <c r="D61" s="13"/>
      <c r="E61" s="13"/>
      <c r="F61" s="13"/>
      <c r="G61" s="13"/>
      <c r="H61" s="13"/>
      <c r="I61" s="13"/>
      <c r="J61" s="13"/>
      <c r="K61" s="13"/>
      <c r="L61" s="13"/>
      <c r="M61" s="13"/>
      <c r="N61" s="13"/>
      <c r="O61" s="13"/>
    </row>
    <row r="62" spans="1:17" ht="14.65" thickBot="1">
      <c r="B62" s="42">
        <f>B60-'[1]Expend - Overall'!B62</f>
        <v>5287.09</v>
      </c>
      <c r="C62" s="42">
        <f>C60-'[1]Expend - Overall'!C62</f>
        <v>-2453.2999999999993</v>
      </c>
      <c r="D62" s="42">
        <f>D60-'[1]Expend - Overall'!D62</f>
        <v>-12481.54</v>
      </c>
      <c r="E62" s="42">
        <f>E60-'[1]Expend - Overall'!E62</f>
        <v>3914.6499999999978</v>
      </c>
      <c r="F62" s="42">
        <f>F60-'[1]Expend - Overall'!F62</f>
        <v>-2128.4399999999987</v>
      </c>
      <c r="G62" s="42">
        <f>G60-'[1]Expend - Overall'!G62</f>
        <v>-4364.2199999999993</v>
      </c>
      <c r="H62" s="42">
        <f>H60-'[1]Expend - Overall'!H62</f>
        <v>-1530.1700000000019</v>
      </c>
      <c r="I62" s="42">
        <f>I60-'[1]Expend - Overall'!I62</f>
        <v>-15482.470000000001</v>
      </c>
      <c r="J62" s="42">
        <f>J60-'[1]Expend - Overall'!J62</f>
        <v>-5860.48</v>
      </c>
      <c r="K62" s="42">
        <f>K60-'[1]Expend - Overall'!K62</f>
        <v>-773.7599999999984</v>
      </c>
      <c r="L62" s="42">
        <f>L60-'[1]Expend - Overall'!L62</f>
        <v>-550.45999999999913</v>
      </c>
      <c r="M62" s="42">
        <f>M60-'[1]Expend - Overall'!M62</f>
        <v>6023.8899999999994</v>
      </c>
      <c r="N62" s="42">
        <f>N60-'[1]Expend - Overall'!N62</f>
        <v>-30399.209999999934</v>
      </c>
    </row>
    <row r="63" spans="1:17">
      <c r="B63" s="133"/>
      <c r="C63" s="133"/>
      <c r="D63" s="133"/>
      <c r="E63" s="133"/>
      <c r="F63" s="133"/>
      <c r="G63" s="133"/>
      <c r="H63" s="133"/>
      <c r="I63" s="133"/>
      <c r="J63" s="133"/>
      <c r="K63" s="133"/>
      <c r="L63" s="133"/>
      <c r="M63" s="133"/>
      <c r="N63" s="133"/>
    </row>
    <row r="64" spans="1:17">
      <c r="B64" s="133">
        <f>B62</f>
        <v>5287.09</v>
      </c>
      <c r="C64" s="133">
        <f t="shared" ref="C64:M64" si="13">B64+C62</f>
        <v>2833.7900000000009</v>
      </c>
      <c r="D64" s="133">
        <f t="shared" si="13"/>
        <v>-9647.75</v>
      </c>
      <c r="E64" s="133">
        <f t="shared" si="13"/>
        <v>-5733.1000000000022</v>
      </c>
      <c r="F64" s="133">
        <f t="shared" si="13"/>
        <v>-7861.5400000000009</v>
      </c>
      <c r="G64" s="133">
        <f t="shared" si="13"/>
        <v>-12225.76</v>
      </c>
      <c r="H64" s="133">
        <f t="shared" si="13"/>
        <v>-13755.930000000002</v>
      </c>
      <c r="I64" s="133">
        <f t="shared" si="13"/>
        <v>-29238.400000000001</v>
      </c>
      <c r="J64" s="133">
        <f t="shared" si="13"/>
        <v>-35098.880000000005</v>
      </c>
      <c r="K64" s="133">
        <f t="shared" si="13"/>
        <v>-35872.639999999999</v>
      </c>
      <c r="L64" s="133">
        <f t="shared" si="13"/>
        <v>-36423.1</v>
      </c>
      <c r="M64" s="133">
        <f t="shared" si="13"/>
        <v>-30399.21</v>
      </c>
      <c r="N64" s="133"/>
    </row>
  </sheetData>
  <pageMargins left="0.70866141732283472" right="0.70866141732283472" top="0.74803149606299213" bottom="0.74803149606299213" header="0.31496062992125984" footer="0.31496062992125984"/>
  <pageSetup paperSize="9" scale="54" orientation="landscape" r:id="rId1"/>
  <headerFooter alignWithMargins="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6B9E94-2430-4714-B495-E8887DEBAD80}">
  <sheetPr>
    <pageSetUpPr fitToPage="1"/>
  </sheetPr>
  <dimension ref="A1:AD74"/>
  <sheetViews>
    <sheetView zoomScaleNormal="100" workbookViewId="0"/>
  </sheetViews>
  <sheetFormatPr defaultColWidth="9" defaultRowHeight="14.25" outlineLevelCol="1"/>
  <cols>
    <col min="1" max="1" width="39" bestFit="1" customWidth="1"/>
    <col min="2" max="2" width="9.5703125" style="13" bestFit="1" customWidth="1"/>
    <col min="3" max="4" width="10" style="13" bestFit="1" customWidth="1"/>
    <col min="5" max="6" width="9.28515625" style="13" customWidth="1"/>
    <col min="7" max="7" width="9.28515625" style="4" customWidth="1"/>
    <col min="8" max="13" width="9.28515625" style="13" customWidth="1"/>
    <col min="14" max="14" width="9.28515625" style="4" customWidth="1"/>
    <col min="15" max="15" width="9" style="4" hidden="1" customWidth="1" outlineLevel="1"/>
    <col min="16" max="16" width="8.5703125" style="4" hidden="1" customWidth="1" outlineLevel="1"/>
    <col min="17" max="17" width="8.28515625" style="4" hidden="1" customWidth="1" outlineLevel="1"/>
    <col min="18" max="18" width="7" style="4" hidden="1" customWidth="1" outlineLevel="1"/>
    <col min="19" max="19" width="8.28515625" style="4" hidden="1" customWidth="1" outlineLevel="1"/>
    <col min="20" max="20" width="10" style="4" hidden="1" customWidth="1" outlineLevel="1"/>
    <col min="21" max="21" width="7" style="4" hidden="1" customWidth="1" outlineLevel="1"/>
    <col min="22" max="22" width="9.5703125" style="4" hidden="1" customWidth="1" outlineLevel="1"/>
    <col min="23" max="23" width="8.5703125" style="4" hidden="1" customWidth="1" outlineLevel="1"/>
    <col min="24" max="24" width="3" customWidth="1" collapsed="1"/>
    <col min="25" max="25" width="9.28515625" customWidth="1"/>
    <col min="26" max="26" width="9" bestFit="1" customWidth="1"/>
    <col min="27" max="27" width="3" customWidth="1"/>
    <col min="28" max="28" width="9.28515625" customWidth="1"/>
    <col min="29" max="29" width="9" bestFit="1" customWidth="1"/>
    <col min="30" max="30" width="8.5703125" bestFit="1" customWidth="1"/>
  </cols>
  <sheetData>
    <row r="1" spans="1:30">
      <c r="A1" s="1" t="s">
        <v>0</v>
      </c>
    </row>
    <row r="2" spans="1:30">
      <c r="A2" s="1" t="s">
        <v>10</v>
      </c>
      <c r="Y2" s="116">
        <f>'Income - Forecast'!Y2</f>
        <v>12</v>
      </c>
      <c r="AB2" s="116">
        <f>Y2</f>
        <v>12</v>
      </c>
    </row>
    <row r="3" spans="1:30">
      <c r="A3" s="1">
        <f>'Income - Overall'!A3</f>
        <v>46173</v>
      </c>
      <c r="AB3" s="14" t="s">
        <v>11</v>
      </c>
    </row>
    <row r="4" spans="1:30">
      <c r="A4" s="1" t="s">
        <v>385</v>
      </c>
      <c r="AB4" s="14" t="s">
        <v>13</v>
      </c>
    </row>
    <row r="5" spans="1:30">
      <c r="A5" s="117"/>
      <c r="B5" s="118"/>
      <c r="C5" s="118"/>
      <c r="D5" s="118"/>
      <c r="E5" s="118"/>
      <c r="F5" s="118"/>
      <c r="G5" s="119"/>
      <c r="H5" s="118"/>
      <c r="I5" s="118"/>
      <c r="J5" s="118"/>
      <c r="K5" s="118"/>
      <c r="L5" s="118"/>
      <c r="M5" s="118"/>
      <c r="N5" s="119"/>
      <c r="O5" s="119"/>
      <c r="P5" s="119"/>
      <c r="Q5" s="120" t="s">
        <v>14</v>
      </c>
      <c r="R5" s="12" t="s">
        <v>15</v>
      </c>
      <c r="S5" s="12" t="s">
        <v>16</v>
      </c>
      <c r="T5" s="12" t="s">
        <v>17</v>
      </c>
      <c r="U5" s="12" t="s">
        <v>18</v>
      </c>
      <c r="V5" s="120" t="s">
        <v>19</v>
      </c>
      <c r="W5" s="119"/>
      <c r="Y5" s="14" t="s">
        <v>20</v>
      </c>
      <c r="Z5" s="13"/>
      <c r="AB5" s="68">
        <f>'Income - Overall'!AB5</f>
        <v>2025</v>
      </c>
      <c r="AC5" s="13"/>
      <c r="AD5" s="68" t="s">
        <v>21</v>
      </c>
    </row>
    <row r="6" spans="1:30">
      <c r="A6" s="121"/>
      <c r="B6" s="122" t="s">
        <v>22</v>
      </c>
      <c r="C6" s="122" t="s">
        <v>23</v>
      </c>
      <c r="D6" s="122" t="s">
        <v>24</v>
      </c>
      <c r="E6" s="122" t="s">
        <v>25</v>
      </c>
      <c r="F6" s="122" t="s">
        <v>26</v>
      </c>
      <c r="G6" s="123" t="s">
        <v>27</v>
      </c>
      <c r="H6" s="122" t="s">
        <v>28</v>
      </c>
      <c r="I6" s="122" t="s">
        <v>29</v>
      </c>
      <c r="J6" s="122" t="s">
        <v>30</v>
      </c>
      <c r="K6" s="122" t="s">
        <v>31</v>
      </c>
      <c r="L6" s="122" t="s">
        <v>32</v>
      </c>
      <c r="M6" s="122" t="s">
        <v>33</v>
      </c>
      <c r="N6" s="123" t="s">
        <v>34</v>
      </c>
      <c r="O6" s="123" t="s">
        <v>35</v>
      </c>
      <c r="P6" s="123" t="s">
        <v>36</v>
      </c>
      <c r="Q6" s="120" t="s">
        <v>37</v>
      </c>
      <c r="R6" s="12" t="s">
        <v>38</v>
      </c>
      <c r="S6" s="12" t="s">
        <v>37</v>
      </c>
      <c r="T6" s="12" t="s">
        <v>39</v>
      </c>
      <c r="U6" s="12" t="s">
        <v>40</v>
      </c>
      <c r="V6" s="120" t="s">
        <v>41</v>
      </c>
      <c r="W6" s="123" t="s">
        <v>36</v>
      </c>
      <c r="Y6" s="31" t="s">
        <v>42</v>
      </c>
      <c r="Z6" s="31" t="s">
        <v>36</v>
      </c>
      <c r="AB6" s="31" t="s">
        <v>43</v>
      </c>
      <c r="AC6" s="31" t="s">
        <v>36</v>
      </c>
      <c r="AD6" s="31" t="s">
        <v>36</v>
      </c>
    </row>
    <row r="7" spans="1:30">
      <c r="A7" s="1" t="s">
        <v>87</v>
      </c>
    </row>
    <row r="8" spans="1:30">
      <c r="A8" s="18" t="s">
        <v>88</v>
      </c>
      <c r="B8" s="13">
        <f>'Expend - Overall'!B8</f>
        <v>0</v>
      </c>
      <c r="C8" s="13">
        <f>'Expend - Overall'!C8</f>
        <v>0</v>
      </c>
      <c r="D8" s="13">
        <f>'Expend - Overall'!D8</f>
        <v>0</v>
      </c>
      <c r="E8" s="13">
        <f>'Expend - Overall'!E8</f>
        <v>0</v>
      </c>
      <c r="F8" s="13">
        <f>'Expend - Overall'!F8</f>
        <v>0</v>
      </c>
      <c r="G8" s="13">
        <f>'Expend - Overall'!G8</f>
        <v>0</v>
      </c>
      <c r="H8" s="13">
        <f>'Expend - Overall'!H8</f>
        <v>0</v>
      </c>
      <c r="I8" s="13">
        <f>'Expend - Overall'!I8</f>
        <v>0</v>
      </c>
      <c r="J8" s="13">
        <f>'Expend - Overall'!J8</f>
        <v>0</v>
      </c>
      <c r="N8" s="13">
        <f>SUM(B8:M8)</f>
        <v>0</v>
      </c>
      <c r="O8" s="13"/>
      <c r="P8" s="13">
        <f>N8-O8</f>
        <v>0</v>
      </c>
      <c r="Q8" s="13"/>
      <c r="R8" s="13"/>
      <c r="S8" s="13"/>
      <c r="T8" s="13"/>
      <c r="U8" s="13"/>
      <c r="V8" s="13"/>
      <c r="W8" s="13">
        <f>SUM(P8:V8)</f>
        <v>0</v>
      </c>
      <c r="Y8" s="13">
        <f>SUMIF('Expend - OverallBUD'!$C$2:$N$2,'Expend - Forecast'!$Y$2,'Expend - OverallBUD'!$C8:$N8)</f>
        <v>0</v>
      </c>
      <c r="Z8" s="13">
        <f>Y8-N8</f>
        <v>0</v>
      </c>
      <c r="AB8" s="13">
        <f>SUMIF('Expend - OverallPY'!$B$2:$M$2,'Expend - Forecast'!$AB$2,'Expend - OverallPY'!$B8:$M8)</f>
        <v>0</v>
      </c>
      <c r="AC8" s="13">
        <f>AB8-N8</f>
        <v>0</v>
      </c>
      <c r="AD8" s="124" t="str">
        <f>IF(ISERROR((AB8/N8)-1),"-",(AB8/N8)-1)</f>
        <v>-</v>
      </c>
    </row>
    <row r="9" spans="1:30">
      <c r="A9" s="18" t="s">
        <v>89</v>
      </c>
      <c r="B9" s="13">
        <f>'Expend - Overall'!B9</f>
        <v>0</v>
      </c>
      <c r="C9" s="13">
        <f>'Expend - Overall'!C9</f>
        <v>0</v>
      </c>
      <c r="D9" s="13">
        <f>'Expend - Overall'!D9</f>
        <v>0</v>
      </c>
      <c r="E9" s="13">
        <f>'Expend - Overall'!E9</f>
        <v>0</v>
      </c>
      <c r="F9" s="13">
        <f>'Expend - Overall'!F9</f>
        <v>0</v>
      </c>
      <c r="G9" s="13">
        <f>'Expend - Overall'!G9</f>
        <v>0</v>
      </c>
      <c r="H9" s="13">
        <f>'Expend - Overall'!H9</f>
        <v>0</v>
      </c>
      <c r="I9" s="13">
        <f>'Expend - Overall'!I9</f>
        <v>0</v>
      </c>
      <c r="J9" s="13">
        <f>'Expend - Overall'!J9</f>
        <v>0</v>
      </c>
      <c r="N9" s="13">
        <f>SUM(B9:M9)</f>
        <v>0</v>
      </c>
      <c r="O9" s="13"/>
      <c r="P9" s="13">
        <f>N9-O9</f>
        <v>0</v>
      </c>
      <c r="Q9" s="13"/>
      <c r="R9" s="13"/>
      <c r="S9" s="13"/>
      <c r="T9" s="13"/>
      <c r="U9" s="13"/>
      <c r="V9" s="13"/>
      <c r="W9" s="13">
        <f>SUM(P9:V9)</f>
        <v>0</v>
      </c>
      <c r="Y9" s="13">
        <f>SUMIF('Expend - OverallBUD'!$C$2:$N$2,'Expend - Forecast'!$Y$2,'Expend - OverallBUD'!$C9:$N9)</f>
        <v>0</v>
      </c>
      <c r="Z9" s="13">
        <f>Y9-N9</f>
        <v>0</v>
      </c>
      <c r="AB9" s="13">
        <f>SUMIF('Expend - OverallPY'!$B$2:$M$2,'Expend - Forecast'!$AB$2,'Expend - OverallPY'!$B9:$M9)</f>
        <v>0</v>
      </c>
      <c r="AC9" s="13">
        <f>AB9-N9</f>
        <v>0</v>
      </c>
      <c r="AD9" s="124" t="str">
        <f>IF(ISERROR((AB9/N9)-1),"-",(AB9/N9)-1)</f>
        <v>-</v>
      </c>
    </row>
    <row r="10" spans="1:30" ht="14.65" thickBot="1">
      <c r="A10" s="7" t="s">
        <v>90</v>
      </c>
      <c r="B10" s="125">
        <f>SUM(B8:B9)</f>
        <v>0</v>
      </c>
      <c r="C10" s="125">
        <f t="shared" ref="C10:W10" si="0">SUM(C8:C9)</f>
        <v>0</v>
      </c>
      <c r="D10" s="125">
        <f t="shared" si="0"/>
        <v>0</v>
      </c>
      <c r="E10" s="125">
        <f t="shared" si="0"/>
        <v>0</v>
      </c>
      <c r="F10" s="125">
        <f t="shared" si="0"/>
        <v>0</v>
      </c>
      <c r="G10" s="125">
        <f t="shared" si="0"/>
        <v>0</v>
      </c>
      <c r="H10" s="125">
        <f t="shared" si="0"/>
        <v>0</v>
      </c>
      <c r="I10" s="125">
        <f t="shared" si="0"/>
        <v>0</v>
      </c>
      <c r="J10" s="125">
        <f t="shared" si="0"/>
        <v>0</v>
      </c>
      <c r="K10" s="125">
        <f t="shared" si="0"/>
        <v>0</v>
      </c>
      <c r="L10" s="125">
        <f t="shared" si="0"/>
        <v>0</v>
      </c>
      <c r="M10" s="125">
        <f t="shared" si="0"/>
        <v>0</v>
      </c>
      <c r="N10" s="125">
        <f t="shared" si="0"/>
        <v>0</v>
      </c>
      <c r="O10" s="125">
        <f t="shared" si="0"/>
        <v>0</v>
      </c>
      <c r="P10" s="125">
        <f t="shared" si="0"/>
        <v>0</v>
      </c>
      <c r="Q10" s="125">
        <f t="shared" si="0"/>
        <v>0</v>
      </c>
      <c r="R10" s="125">
        <f t="shared" si="0"/>
        <v>0</v>
      </c>
      <c r="S10" s="125">
        <f t="shared" si="0"/>
        <v>0</v>
      </c>
      <c r="T10" s="125">
        <f t="shared" si="0"/>
        <v>0</v>
      </c>
      <c r="U10" s="125">
        <f t="shared" si="0"/>
        <v>0</v>
      </c>
      <c r="V10" s="125">
        <f t="shared" si="0"/>
        <v>0</v>
      </c>
      <c r="W10" s="125">
        <f t="shared" si="0"/>
        <v>0</v>
      </c>
      <c r="Y10" s="28">
        <f>SUM(Y8:Y9)</f>
        <v>0</v>
      </c>
      <c r="Z10" s="28">
        <f>SUM(Z8:Z9)</f>
        <v>0</v>
      </c>
      <c r="AB10" s="28">
        <f>SUM(AB8:AB9)</f>
        <v>0</v>
      </c>
      <c r="AC10" s="28">
        <f>SUM(AC8:AC9)</f>
        <v>0</v>
      </c>
      <c r="AD10" s="126" t="str">
        <f>IF(ISERROR((AB10/N10)-1),"-",(AB10/N10)-1)</f>
        <v>-</v>
      </c>
    </row>
    <row r="11" spans="1:30">
      <c r="A11" s="7"/>
      <c r="G11" s="13"/>
      <c r="N11" s="13"/>
      <c r="O11" s="13"/>
      <c r="P11" s="13"/>
      <c r="Q11" s="13"/>
      <c r="R11" s="13"/>
      <c r="S11" s="13"/>
      <c r="T11" s="13"/>
      <c r="U11" s="13"/>
      <c r="V11" s="13"/>
      <c r="W11" s="13"/>
      <c r="Y11" s="13"/>
      <c r="Z11" s="13"/>
    </row>
    <row r="12" spans="1:30">
      <c r="A12" s="1" t="s">
        <v>91</v>
      </c>
      <c r="G12" s="13"/>
      <c r="N12" s="13"/>
      <c r="O12" s="13"/>
      <c r="P12" s="13"/>
      <c r="Q12" s="13"/>
      <c r="R12" s="13"/>
      <c r="S12" s="13"/>
      <c r="T12" s="13"/>
      <c r="U12" s="13"/>
      <c r="V12" s="13"/>
      <c r="W12" s="13"/>
      <c r="Y12" s="13"/>
      <c r="Z12" s="13"/>
    </row>
    <row r="13" spans="1:30">
      <c r="A13" s="15" t="s">
        <v>92</v>
      </c>
      <c r="B13" s="13">
        <f>'Expend - Overall'!B13</f>
        <v>0</v>
      </c>
      <c r="C13" s="13">
        <f>'Expend - Overall'!C13</f>
        <v>6400.1</v>
      </c>
      <c r="D13" s="13">
        <f>'Expend - Overall'!D13</f>
        <v>6400.1</v>
      </c>
      <c r="E13" s="13">
        <f>'Expend - Overall'!E13</f>
        <v>6400.1</v>
      </c>
      <c r="F13" s="13">
        <f>'Expend - Overall'!F13</f>
        <v>6400.1</v>
      </c>
      <c r="G13" s="13">
        <f>'Expend - Overall'!G13</f>
        <v>0</v>
      </c>
      <c r="H13" s="13">
        <f>'Expend - Overall'!H13</f>
        <v>0</v>
      </c>
      <c r="I13" s="13">
        <f>'Expend - Overall'!I13</f>
        <v>0</v>
      </c>
      <c r="J13" s="13">
        <f>'Expend - Overall'!J13</f>
        <v>0</v>
      </c>
      <c r="K13" s="13">
        <f>J13</f>
        <v>0</v>
      </c>
      <c r="L13" s="13">
        <f>K13</f>
        <v>0</v>
      </c>
      <c r="N13" s="13">
        <f t="shared" ref="N13:N20" si="1">SUM(B13:M13)</f>
        <v>25600.400000000001</v>
      </c>
      <c r="O13" s="13"/>
      <c r="P13" s="13">
        <f t="shared" ref="P13:P59" si="2">N13-O13</f>
        <v>25600.400000000001</v>
      </c>
      <c r="Q13" s="13"/>
      <c r="R13" s="13"/>
      <c r="S13" s="13"/>
      <c r="T13" s="13"/>
      <c r="U13" s="13"/>
      <c r="V13" s="13"/>
      <c r="W13" s="13">
        <f>SUM(P13:V13)</f>
        <v>25600.400000000001</v>
      </c>
      <c r="Y13" s="13">
        <f>SUMIF('Expend - OverallBUD'!$C$2:$N$2,'Expend - Forecast'!$Y$2,'Expend - OverallBUD'!$C13:$N13)</f>
        <v>64000.999999999993</v>
      </c>
      <c r="Z13" s="13">
        <f>Y13-N13</f>
        <v>38400.599999999991</v>
      </c>
      <c r="AB13" s="13">
        <f>SUMIF('Expend - OverallPY'!$B$2:$M$2,'Expend - Forecast'!$AB$2,'Expend - OverallPY'!$B13:$M13)</f>
        <v>58039</v>
      </c>
      <c r="AC13" s="13">
        <f>AB13-N13</f>
        <v>32438.6</v>
      </c>
      <c r="AD13" s="124">
        <f>IF(ISERROR((AB13/N13)-1),"-",(AB13/N13)-1)</f>
        <v>1.2671130138591584</v>
      </c>
    </row>
    <row r="14" spans="1:30">
      <c r="A14" s="15" t="s">
        <v>164</v>
      </c>
      <c r="B14" s="13">
        <f>'Expend - Overall'!B14</f>
        <v>0</v>
      </c>
      <c r="C14" s="13">
        <f>'Expend - Overall'!C14</f>
        <v>0</v>
      </c>
      <c r="D14" s="13">
        <f>'Expend - Overall'!D14</f>
        <v>3367</v>
      </c>
      <c r="E14" s="13">
        <f>'Expend - Overall'!E14</f>
        <v>0</v>
      </c>
      <c r="F14" s="13">
        <f>'Expend - Overall'!F14</f>
        <v>0</v>
      </c>
      <c r="G14" s="13">
        <f>'Expend - Overall'!G14</f>
        <v>0</v>
      </c>
      <c r="H14" s="13">
        <f>'Expend - Overall'!H14</f>
        <v>0</v>
      </c>
      <c r="I14" s="13">
        <f>'Expend - Overall'!I14</f>
        <v>0</v>
      </c>
      <c r="J14" s="13">
        <f>'Expend - Overall'!J14</f>
        <v>0</v>
      </c>
      <c r="M14" s="13">
        <v>657</v>
      </c>
      <c r="N14" s="13">
        <f t="shared" si="1"/>
        <v>4024</v>
      </c>
      <c r="O14" s="13"/>
      <c r="P14" s="13">
        <f t="shared" si="2"/>
        <v>4024</v>
      </c>
      <c r="Q14" s="13"/>
      <c r="R14" s="13"/>
      <c r="S14" s="13"/>
      <c r="T14" s="13"/>
      <c r="U14" s="13"/>
      <c r="V14" s="13"/>
      <c r="W14" s="13">
        <f>SUM(P14:V14)</f>
        <v>4024</v>
      </c>
      <c r="Y14" s="13">
        <f>SUMIF('Expend - OverallBUD'!$C$2:$N$2,'Expend - Forecast'!$Y$2,'Expend - OverallBUD'!$C14:$N14)</f>
        <v>3367</v>
      </c>
      <c r="Z14" s="13">
        <f>Y14-N14</f>
        <v>-657</v>
      </c>
      <c r="AB14" s="13">
        <f>SUMIF('Expend - OverallPY'!$B$2:$M$2,'Expend - Forecast'!$AB$2,'Expend - OverallPY'!$B14:$M14)</f>
        <v>3056</v>
      </c>
      <c r="AC14" s="13">
        <f>AB14-N14</f>
        <v>-968</v>
      </c>
      <c r="AD14" s="124">
        <f>IF(ISERROR((AB14/N14)-1),"-",(AB14/N14)-1)</f>
        <v>-0.24055666003976139</v>
      </c>
    </row>
    <row r="15" spans="1:30">
      <c r="A15" s="15" t="s">
        <v>94</v>
      </c>
      <c r="B15" s="13">
        <f>SUM(B16:B17)</f>
        <v>287.5</v>
      </c>
      <c r="C15" s="13">
        <f t="shared" ref="C15:O15" si="3">SUM(C16:C17)</f>
        <v>11.5</v>
      </c>
      <c r="D15" s="13">
        <f t="shared" si="3"/>
        <v>11.5</v>
      </c>
      <c r="E15" s="13">
        <f t="shared" si="3"/>
        <v>379.5</v>
      </c>
      <c r="F15" s="13">
        <f t="shared" si="3"/>
        <v>11.5</v>
      </c>
      <c r="G15" s="13">
        <f t="shared" si="3"/>
        <v>0</v>
      </c>
      <c r="H15" s="13">
        <f t="shared" si="3"/>
        <v>0</v>
      </c>
      <c r="I15" s="13">
        <f t="shared" si="3"/>
        <v>0</v>
      </c>
      <c r="J15" s="13">
        <f t="shared" si="3"/>
        <v>0</v>
      </c>
      <c r="K15" s="13">
        <f t="shared" si="3"/>
        <v>240</v>
      </c>
      <c r="L15" s="13">
        <f t="shared" si="3"/>
        <v>0</v>
      </c>
      <c r="M15" s="13">
        <f t="shared" si="3"/>
        <v>240</v>
      </c>
      <c r="N15" s="13">
        <f t="shared" si="1"/>
        <v>1181.5</v>
      </c>
      <c r="O15" s="13">
        <f t="shared" si="3"/>
        <v>0</v>
      </c>
      <c r="P15" s="13">
        <f t="shared" si="2"/>
        <v>1181.5</v>
      </c>
      <c r="Q15" s="13"/>
      <c r="R15" s="13"/>
      <c r="S15" s="13"/>
      <c r="T15" s="13"/>
      <c r="U15" s="13"/>
      <c r="V15" s="13"/>
      <c r="W15" s="13">
        <f>SUM(P15:V15)</f>
        <v>1181.5</v>
      </c>
      <c r="Y15" s="13">
        <f>SUM(Y16:Y17)</f>
        <v>1104</v>
      </c>
      <c r="Z15" s="13">
        <f>SUM(Z16:Z17)</f>
        <v>-77.5</v>
      </c>
      <c r="AB15" s="13">
        <f>SUM(AB16:AB17)</f>
        <v>858</v>
      </c>
      <c r="AC15" s="13">
        <f>AB15-N15</f>
        <v>-323.5</v>
      </c>
      <c r="AD15" s="124">
        <f>IF(ISERROR((AB15/N15)-1),"-",(AB15/N15)-1)</f>
        <v>-0.27380448582310624</v>
      </c>
    </row>
    <row r="16" spans="1:30" s="19" customFormat="1">
      <c r="A16" s="20" t="s">
        <v>95</v>
      </c>
      <c r="B16" s="32">
        <f>'Expend - Overall'!B16</f>
        <v>11.5</v>
      </c>
      <c r="C16" s="32">
        <f>'Expend - Overall'!C16</f>
        <v>11.5</v>
      </c>
      <c r="D16" s="32">
        <f>'Expend - Overall'!D16</f>
        <v>11.5</v>
      </c>
      <c r="E16" s="32">
        <f>'Expend - Overall'!E16</f>
        <v>11.5</v>
      </c>
      <c r="F16" s="32">
        <f>'Expend - Overall'!F16</f>
        <v>11.5</v>
      </c>
      <c r="G16" s="32">
        <f>'Expend - Overall'!G16</f>
        <v>0</v>
      </c>
      <c r="H16" s="32">
        <f>'Expend - Overall'!H16</f>
        <v>0</v>
      </c>
      <c r="I16" s="32">
        <f>'Expend - Overall'!I16</f>
        <v>0</v>
      </c>
      <c r="J16" s="32">
        <f>'Expend - Overall'!J16</f>
        <v>0</v>
      </c>
      <c r="K16" s="32"/>
      <c r="L16" s="32"/>
      <c r="M16" s="32"/>
      <c r="N16" s="33">
        <f t="shared" si="1"/>
        <v>57.5</v>
      </c>
      <c r="O16" s="36"/>
      <c r="P16" s="13">
        <f t="shared" si="2"/>
        <v>57.5</v>
      </c>
      <c r="Q16" s="13"/>
      <c r="R16" s="13"/>
      <c r="S16" s="13"/>
      <c r="T16" s="13"/>
      <c r="U16" s="13"/>
      <c r="V16" s="13"/>
      <c r="W16" s="13">
        <f>SUM(P16:V16)</f>
        <v>57.5</v>
      </c>
      <c r="Y16" s="127">
        <f>SUMIF('Expend - OverallBUD'!$C$2:$N$2,'Expend - Forecast'!$Y$2,'Expend - OverallBUD'!$C16:$N16)</f>
        <v>144</v>
      </c>
      <c r="Z16" s="33">
        <f>Y16-N16</f>
        <v>86.5</v>
      </c>
      <c r="AB16" s="127">
        <f>SUMIF('Expend - OverallPY'!$B$2:$M$2,'Expend - Forecast'!$AB$2,'Expend - OverallPY'!$B16:$M16)</f>
        <v>138</v>
      </c>
      <c r="AC16" s="32">
        <f>AB16-N16</f>
        <v>80.5</v>
      </c>
      <c r="AD16" s="128">
        <f>IF(ISERROR((AB16/N16)-1),"-",(AB16/N16)-1)</f>
        <v>1.4</v>
      </c>
    </row>
    <row r="17" spans="1:30" s="19" customFormat="1">
      <c r="A17" s="22" t="s">
        <v>96</v>
      </c>
      <c r="B17" s="34">
        <f>'Expend - Overall'!B17</f>
        <v>276</v>
      </c>
      <c r="C17" s="34">
        <f>'Expend - Overall'!C17</f>
        <v>0</v>
      </c>
      <c r="D17" s="34">
        <f>'Expend - Overall'!D17</f>
        <v>0</v>
      </c>
      <c r="E17" s="34">
        <f>'Expend - Overall'!E17</f>
        <v>368</v>
      </c>
      <c r="F17" s="34">
        <f>'Expend - Overall'!F17</f>
        <v>0</v>
      </c>
      <c r="G17" s="34">
        <f>'Expend - Overall'!G17</f>
        <v>0</v>
      </c>
      <c r="H17" s="34">
        <f>'Expend - Overall'!H17</f>
        <v>0</v>
      </c>
      <c r="I17" s="34">
        <f>'Expend - Overall'!I17</f>
        <v>0</v>
      </c>
      <c r="J17" s="34">
        <f>'Expend - Overall'!J17</f>
        <v>0</v>
      </c>
      <c r="K17" s="34">
        <v>240</v>
      </c>
      <c r="L17" s="34"/>
      <c r="M17" s="34">
        <v>240</v>
      </c>
      <c r="N17" s="35">
        <f t="shared" si="1"/>
        <v>1124</v>
      </c>
      <c r="O17" s="36"/>
      <c r="P17" s="13">
        <f t="shared" si="2"/>
        <v>1124</v>
      </c>
      <c r="Q17" s="13"/>
      <c r="R17" s="13"/>
      <c r="S17" s="13"/>
      <c r="T17" s="13"/>
      <c r="U17" s="13"/>
      <c r="V17" s="13"/>
      <c r="W17" s="13">
        <f>SUM(P17:V17)</f>
        <v>1124</v>
      </c>
      <c r="Y17" s="129">
        <f>SUMIF('Expend - OverallBUD'!$C$2:$N$2,'Expend - Forecast'!$Y$2,'Expend - OverallBUD'!$C17:$N17)</f>
        <v>960</v>
      </c>
      <c r="Z17" s="35">
        <f>Y17-N17</f>
        <v>-164</v>
      </c>
      <c r="AB17" s="129">
        <f>SUMIF('Expend - OverallPY'!$B$2:$M$2,'Expend - Forecast'!$AB$2,'Expend - OverallPY'!$B17:$M17)</f>
        <v>720</v>
      </c>
      <c r="AC17" s="34">
        <f>AB17-N17</f>
        <v>-404</v>
      </c>
      <c r="AD17" s="130">
        <f>IF(ISERROR((AB17/N17)-1),"-",(AB17/N17)-1)</f>
        <v>-0.35943060498220636</v>
      </c>
    </row>
    <row r="18" spans="1:30" s="19" customFormat="1" ht="7.5" customHeight="1">
      <c r="A18" s="38"/>
      <c r="B18" s="36"/>
      <c r="C18" s="36"/>
      <c r="D18" s="36"/>
      <c r="E18" s="36"/>
      <c r="F18" s="36"/>
      <c r="G18" s="36"/>
      <c r="H18" s="36"/>
      <c r="I18" s="36"/>
      <c r="J18" s="36"/>
      <c r="K18" s="36"/>
      <c r="L18" s="36"/>
      <c r="M18" s="36"/>
      <c r="N18" s="36"/>
      <c r="O18" s="36"/>
      <c r="P18" s="13"/>
      <c r="Q18" s="13"/>
      <c r="R18" s="13"/>
      <c r="S18" s="13"/>
      <c r="T18" s="13"/>
      <c r="U18" s="13"/>
      <c r="V18" s="13"/>
      <c r="W18" s="13"/>
      <c r="Y18" s="36"/>
      <c r="Z18" s="36"/>
      <c r="AB18" s="36"/>
    </row>
    <row r="19" spans="1:30">
      <c r="A19" s="15" t="s">
        <v>97</v>
      </c>
      <c r="B19" s="13">
        <f>'Expend - Overall'!B19</f>
        <v>0</v>
      </c>
      <c r="C19" s="13">
        <f>'Expend - Overall'!C19</f>
        <v>0</v>
      </c>
      <c r="D19" s="13">
        <f>'Expend - Overall'!D19</f>
        <v>0</v>
      </c>
      <c r="E19" s="13">
        <f>'Expend - Overall'!E19</f>
        <v>0</v>
      </c>
      <c r="F19" s="13">
        <f>'Expend - Overall'!F19</f>
        <v>0</v>
      </c>
      <c r="G19" s="13">
        <f>'Expend - Overall'!G19</f>
        <v>0</v>
      </c>
      <c r="H19" s="13">
        <f>'Expend - Overall'!H19</f>
        <v>0</v>
      </c>
      <c r="I19" s="13">
        <f>'Expend - Overall'!I19</f>
        <v>0</v>
      </c>
      <c r="J19" s="13">
        <f>'Expend - Overall'!J19</f>
        <v>0</v>
      </c>
      <c r="N19" s="13">
        <f t="shared" si="1"/>
        <v>0</v>
      </c>
      <c r="O19" s="13"/>
      <c r="P19" s="13">
        <f t="shared" si="2"/>
        <v>0</v>
      </c>
      <c r="Q19" s="13"/>
      <c r="R19" s="13"/>
      <c r="S19" s="13"/>
      <c r="T19" s="13"/>
      <c r="U19" s="13"/>
      <c r="V19" s="13"/>
      <c r="W19" s="13">
        <f t="shared" ref="W19:W31" si="4">SUM(P19:V19)</f>
        <v>0</v>
      </c>
      <c r="Y19" s="13">
        <f>SUMIF('Expend - OverallBUD'!$C$2:$N$2,'Expend - Forecast'!$Y$2,'Expend - OverallBUD'!$C19:$N19)</f>
        <v>0</v>
      </c>
      <c r="Z19" s="13">
        <f>Y19-N19</f>
        <v>0</v>
      </c>
      <c r="AB19" s="13">
        <f>SUMIF('Expend - OverallPY'!$B$2:$M$2,'Expend - Forecast'!$AB$2,'Expend - OverallPY'!$B19:$M19)</f>
        <v>0</v>
      </c>
      <c r="AC19" s="13">
        <f t="shared" ref="AC19:AC31" si="5">AB19-N19</f>
        <v>0</v>
      </c>
      <c r="AD19" s="124" t="str">
        <f>IF(ISERROR((AB19/N19)-1),"-",(AB19/N19)-1)</f>
        <v>-</v>
      </c>
    </row>
    <row r="20" spans="1:30">
      <c r="A20" s="15" t="s">
        <v>98</v>
      </c>
      <c r="B20" s="13">
        <f>'Expend - Overall'!B20</f>
        <v>0</v>
      </c>
      <c r="C20" s="13">
        <f>'Expend - Overall'!C20</f>
        <v>0</v>
      </c>
      <c r="D20" s="13">
        <f>'Expend - Overall'!D20</f>
        <v>0</v>
      </c>
      <c r="E20" s="13">
        <f>'Expend - Overall'!E20</f>
        <v>0</v>
      </c>
      <c r="F20" s="13">
        <f>'Expend - Overall'!F20</f>
        <v>0</v>
      </c>
      <c r="G20" s="13">
        <f>'Expend - Overall'!G20</f>
        <v>0</v>
      </c>
      <c r="H20" s="13">
        <f>'Expend - Overall'!H20</f>
        <v>0</v>
      </c>
      <c r="I20" s="13">
        <f>'Expend - Overall'!I20</f>
        <v>0</v>
      </c>
      <c r="J20" s="13">
        <f>'Expend - Overall'!J20</f>
        <v>0</v>
      </c>
      <c r="N20" s="13">
        <f t="shared" si="1"/>
        <v>0</v>
      </c>
      <c r="O20" s="13"/>
      <c r="P20" s="13">
        <f t="shared" si="2"/>
        <v>0</v>
      </c>
      <c r="Q20" s="13"/>
      <c r="R20" s="13"/>
      <c r="S20" s="13"/>
      <c r="T20" s="13"/>
      <c r="U20" s="13"/>
      <c r="V20" s="13"/>
      <c r="W20" s="13">
        <f t="shared" si="4"/>
        <v>0</v>
      </c>
      <c r="Y20" s="13">
        <f>SUMIF('Expend - OverallBUD'!$C$2:$N$2,'Expend - Forecast'!$Y$2,'Expend - OverallBUD'!$C20:$N20)</f>
        <v>0</v>
      </c>
      <c r="Z20" s="13">
        <f>Y20-N20</f>
        <v>0</v>
      </c>
      <c r="AB20" s="13">
        <f>SUMIF('Expend - OverallPY'!$B$2:$M$2,'Expend - Forecast'!$AB$2,'Expend - OverallPY'!$B20:$M20)</f>
        <v>0</v>
      </c>
      <c r="AC20" s="13">
        <f t="shared" si="5"/>
        <v>0</v>
      </c>
      <c r="AD20" s="124" t="str">
        <f>IF(ISERROR((AB20/N20)-1),"-",(AB20/N20)-1)</f>
        <v>-</v>
      </c>
    </row>
    <row r="21" spans="1:30">
      <c r="A21" s="15" t="s">
        <v>99</v>
      </c>
      <c r="B21" s="13" t="e">
        <f>SUM(B22:B31)</f>
        <v>#REF!</v>
      </c>
      <c r="C21" s="13" t="e">
        <f t="shared" ref="C21:O21" si="6">SUM(C22:C31)</f>
        <v>#REF!</v>
      </c>
      <c r="D21" s="13" t="e">
        <f t="shared" si="6"/>
        <v>#REF!</v>
      </c>
      <c r="E21" s="13" t="e">
        <f t="shared" si="6"/>
        <v>#REF!</v>
      </c>
      <c r="F21" s="13" t="e">
        <f t="shared" si="6"/>
        <v>#REF!</v>
      </c>
      <c r="G21" s="13" t="e">
        <f t="shared" si="6"/>
        <v>#REF!</v>
      </c>
      <c r="H21" s="13" t="e">
        <f t="shared" si="6"/>
        <v>#REF!</v>
      </c>
      <c r="I21" s="13" t="e">
        <f t="shared" si="6"/>
        <v>#REF!</v>
      </c>
      <c r="J21" s="13" t="e">
        <f t="shared" si="6"/>
        <v>#REF!</v>
      </c>
      <c r="K21" s="13">
        <f t="shared" si="6"/>
        <v>3916.1434027777777</v>
      </c>
      <c r="L21" s="13">
        <f t="shared" si="6"/>
        <v>3916.1434027777777</v>
      </c>
      <c r="M21" s="13">
        <f t="shared" si="6"/>
        <v>3916.1434027777777</v>
      </c>
      <c r="N21" s="13" t="e">
        <f t="shared" si="6"/>
        <v>#REF!</v>
      </c>
      <c r="O21" s="13">
        <f t="shared" si="6"/>
        <v>0</v>
      </c>
      <c r="P21" s="13" t="e">
        <f t="shared" si="2"/>
        <v>#REF!</v>
      </c>
      <c r="Q21" s="13">
        <f t="shared" ref="Q21:V21" si="7">SUM(Q22:Q31)</f>
        <v>0</v>
      </c>
      <c r="R21" s="13">
        <f t="shared" si="7"/>
        <v>0</v>
      </c>
      <c r="S21" s="13">
        <f t="shared" si="7"/>
        <v>0</v>
      </c>
      <c r="T21" s="13">
        <f t="shared" si="7"/>
        <v>0</v>
      </c>
      <c r="U21" s="13">
        <f t="shared" si="7"/>
        <v>0</v>
      </c>
      <c r="V21" s="13">
        <f t="shared" si="7"/>
        <v>0</v>
      </c>
      <c r="W21" s="13" t="e">
        <f t="shared" si="4"/>
        <v>#REF!</v>
      </c>
      <c r="Y21" s="13">
        <f>SUM(Y22:Y31)</f>
        <v>80584</v>
      </c>
      <c r="Z21" s="13" t="e">
        <f>SUM(Z22:Z31)</f>
        <v>#REF!</v>
      </c>
      <c r="AB21" s="13">
        <f>SUM(AB22:AB31)</f>
        <v>76488.159999999989</v>
      </c>
      <c r="AC21" s="13" t="e">
        <f t="shared" si="5"/>
        <v>#REF!</v>
      </c>
      <c r="AD21" s="124" t="str">
        <f>IF(ISERROR((AB21/N21)-1),"-",(AB21/N21)-1)</f>
        <v>-</v>
      </c>
    </row>
    <row r="22" spans="1:30" s="19" customFormat="1">
      <c r="A22" s="20" t="s">
        <v>100</v>
      </c>
      <c r="B22" s="32">
        <f>'Expend - Overall'!B22</f>
        <v>0</v>
      </c>
      <c r="C22" s="32">
        <f>'Expend - Overall'!C22</f>
        <v>0</v>
      </c>
      <c r="D22" s="32">
        <f>'Expend - Overall'!D22</f>
        <v>0</v>
      </c>
      <c r="E22" s="32">
        <f>'Expend - Overall'!E22</f>
        <v>0</v>
      </c>
      <c r="F22" s="32">
        <f>'Expend - Overall'!F22</f>
        <v>0</v>
      </c>
      <c r="G22" s="32">
        <f>'Expend - Overall'!G22</f>
        <v>0</v>
      </c>
      <c r="H22" s="32">
        <f>'Expend - Overall'!H22</f>
        <v>0</v>
      </c>
      <c r="I22" s="32">
        <f>'Expend - Overall'!I22</f>
        <v>0</v>
      </c>
      <c r="J22" s="32">
        <f>'Expend - Overall'!J22</f>
        <v>0</v>
      </c>
      <c r="K22" s="32">
        <f>'People - Forecast'!AL22</f>
        <v>223.12</v>
      </c>
      <c r="L22" s="32">
        <f>'People - Forecast'!AM22</f>
        <v>223.12</v>
      </c>
      <c r="M22" s="32">
        <f>'People - Forecast'!AN22</f>
        <v>223.12</v>
      </c>
      <c r="N22" s="33">
        <f>SUM(B22:M22)</f>
        <v>669.36</v>
      </c>
      <c r="O22" s="36"/>
      <c r="P22" s="13">
        <f t="shared" si="2"/>
        <v>669.36</v>
      </c>
      <c r="Q22" s="36"/>
      <c r="R22" s="36"/>
      <c r="S22" s="36"/>
      <c r="T22" s="36"/>
      <c r="U22" s="36"/>
      <c r="V22" s="36"/>
      <c r="W22" s="36">
        <f t="shared" si="4"/>
        <v>669.36</v>
      </c>
      <c r="Y22" s="127">
        <f>SUMIF('Expend - OverallBUD'!$C$2:$N$2,'Expend - Forecast'!$Y$2,'Expend - OverallBUD'!$C22:$N22)</f>
        <v>0</v>
      </c>
      <c r="Z22" s="33">
        <f t="shared" ref="Z22:Z31" si="8">Y22-N22</f>
        <v>-669.36</v>
      </c>
      <c r="AB22" s="127">
        <f>SUMIF('Expend - OverallPY'!$B$2:$M$2,'Expend - Forecast'!$AB$2,'Expend - OverallPY'!$B22:$M22)</f>
        <v>0</v>
      </c>
      <c r="AC22" s="32">
        <f t="shared" si="5"/>
        <v>-669.36</v>
      </c>
      <c r="AD22" s="128">
        <f>IF(ISERROR((AB22/N22)-1),"-",(AB22/N22)-1)</f>
        <v>-1</v>
      </c>
    </row>
    <row r="23" spans="1:30" s="19" customFormat="1">
      <c r="A23" s="24" t="s">
        <v>101</v>
      </c>
      <c r="B23" s="36">
        <f>'Expend - Overall'!B23</f>
        <v>524</v>
      </c>
      <c r="C23" s="36">
        <f>'Expend - Overall'!C23</f>
        <v>0</v>
      </c>
      <c r="D23" s="36">
        <f>'Expend - Overall'!D23</f>
        <v>1048.4000000000001</v>
      </c>
      <c r="E23" s="36">
        <f>'Expend - Overall'!E23</f>
        <v>599.6</v>
      </c>
      <c r="F23" s="36">
        <f>'Expend - Overall'!F23</f>
        <v>559.6</v>
      </c>
      <c r="G23" s="36">
        <f>'Expend - Overall'!G23</f>
        <v>0</v>
      </c>
      <c r="H23" s="36">
        <f>'Expend - Overall'!H23</f>
        <v>0</v>
      </c>
      <c r="I23" s="36">
        <f>'Expend - Overall'!I23</f>
        <v>0</v>
      </c>
      <c r="J23" s="36">
        <f>'Expend - Overall'!J23</f>
        <v>0</v>
      </c>
      <c r="K23" s="36">
        <f>'People - Forecast'!AL23</f>
        <v>429</v>
      </c>
      <c r="L23" s="36">
        <f>'People - Forecast'!AM23</f>
        <v>429</v>
      </c>
      <c r="M23" s="36">
        <f>'People - Forecast'!AN23</f>
        <v>429</v>
      </c>
      <c r="N23" s="37">
        <f t="shared" ref="N23:N31" si="9">SUM(B23:M23)</f>
        <v>4018.6</v>
      </c>
      <c r="O23" s="36"/>
      <c r="P23" s="13">
        <f t="shared" si="2"/>
        <v>4018.6</v>
      </c>
      <c r="Q23" s="36"/>
      <c r="R23" s="36"/>
      <c r="S23" s="36"/>
      <c r="T23" s="36"/>
      <c r="U23" s="36"/>
      <c r="V23" s="36"/>
      <c r="W23" s="36">
        <f t="shared" si="4"/>
        <v>4018.6</v>
      </c>
      <c r="Y23" s="131">
        <f>SUMIF('Expend - OverallBUD'!$C$2:$N$2,'Expend - Forecast'!$Y$2,'Expend - OverallBUD'!$C23:$N23)</f>
        <v>6732</v>
      </c>
      <c r="Z23" s="37">
        <f t="shared" si="8"/>
        <v>2713.4</v>
      </c>
      <c r="AB23" s="131">
        <f>SUMIF('Expend - OverallPY'!$B$2:$M$2,'Expend - Forecast'!$AB$2,'Expend - OverallPY'!$B23:$M23)</f>
        <v>6193.2399999999989</v>
      </c>
      <c r="AC23" s="36">
        <f t="shared" si="5"/>
        <v>2174.639999999999</v>
      </c>
      <c r="AD23" s="132">
        <f t="shared" ref="AD23:AD31" si="10">IF(ISERROR((AB23/N23)-1),"-",(AB23/N23)-1)</f>
        <v>0.54114368187926121</v>
      </c>
    </row>
    <row r="24" spans="1:30" s="19" customFormat="1">
      <c r="A24" s="24" t="s">
        <v>102</v>
      </c>
      <c r="B24" s="36">
        <f>'Expend - Overall'!B24</f>
        <v>351.47</v>
      </c>
      <c r="C24" s="36">
        <f>'Expend - Overall'!C24</f>
        <v>351.47</v>
      </c>
      <c r="D24" s="36">
        <f>'Expend - Overall'!D24</f>
        <v>395.15</v>
      </c>
      <c r="E24" s="36">
        <f>'Expend - Overall'!E24</f>
        <v>323.25</v>
      </c>
      <c r="F24" s="36">
        <f>'Expend - Overall'!F24</f>
        <v>295.39</v>
      </c>
      <c r="G24" s="36">
        <f>'Expend - Overall'!G24</f>
        <v>0</v>
      </c>
      <c r="H24" s="36">
        <f>'Expend - Overall'!H24</f>
        <v>0</v>
      </c>
      <c r="I24" s="36">
        <f>'Expend - Overall'!I24</f>
        <v>0</v>
      </c>
      <c r="J24" s="36">
        <f>'Expend - Overall'!J24</f>
        <v>0</v>
      </c>
      <c r="K24" s="36">
        <f>'People - Forecast'!AL24</f>
        <v>48.843402777777783</v>
      </c>
      <c r="L24" s="36">
        <f>'People - Forecast'!AM24</f>
        <v>48.843402777777783</v>
      </c>
      <c r="M24" s="36">
        <f>'People - Forecast'!AN24</f>
        <v>48.843402777777783</v>
      </c>
      <c r="N24" s="37">
        <f t="shared" si="9"/>
        <v>1863.2602083333334</v>
      </c>
      <c r="O24" s="36"/>
      <c r="P24" s="13">
        <f t="shared" si="2"/>
        <v>1863.2602083333334</v>
      </c>
      <c r="Q24" s="36"/>
      <c r="R24" s="36"/>
      <c r="S24" s="36"/>
      <c r="T24" s="36"/>
      <c r="U24" s="36"/>
      <c r="V24" s="36"/>
      <c r="W24" s="36">
        <f t="shared" si="4"/>
        <v>1863.2602083333334</v>
      </c>
      <c r="Y24" s="131">
        <f>SUMIF('Expend - OverallBUD'!$C$2:$N$2,'Expend - Forecast'!$Y$2,'Expend - OverallBUD'!$C24:$N24)</f>
        <v>4632</v>
      </c>
      <c r="Z24" s="37">
        <f t="shared" si="8"/>
        <v>2768.7397916666669</v>
      </c>
      <c r="AB24" s="131">
        <f>SUMIF('Expend - OverallPY'!$B$2:$M$2,'Expend - Forecast'!$AB$2,'Expend - OverallPY'!$B24:$M24)</f>
        <v>5498.2800000000016</v>
      </c>
      <c r="AC24" s="36">
        <f t="shared" si="5"/>
        <v>3635.0197916666684</v>
      </c>
      <c r="AD24" s="132">
        <f t="shared" si="10"/>
        <v>1.9508921917664712</v>
      </c>
    </row>
    <row r="25" spans="1:30" s="19" customFormat="1">
      <c r="A25" s="24" t="s">
        <v>103</v>
      </c>
      <c r="B25" s="36">
        <f>'Expend - Overall'!B25</f>
        <v>0</v>
      </c>
      <c r="C25" s="36">
        <f>'Expend - Overall'!C25</f>
        <v>0</v>
      </c>
      <c r="D25" s="36">
        <f>'Expend - Overall'!D25</f>
        <v>0</v>
      </c>
      <c r="E25" s="36">
        <f>'Expend - Overall'!E25</f>
        <v>0</v>
      </c>
      <c r="F25" s="36">
        <f>'Expend - Overall'!F25</f>
        <v>0</v>
      </c>
      <c r="G25" s="36">
        <f>'Expend - Overall'!G25</f>
        <v>0</v>
      </c>
      <c r="H25" s="36">
        <f>'Expend - Overall'!H25</f>
        <v>0</v>
      </c>
      <c r="I25" s="36">
        <f>'Expend - Overall'!I25</f>
        <v>0</v>
      </c>
      <c r="J25" s="36">
        <f>'Expend - Overall'!J25</f>
        <v>0</v>
      </c>
      <c r="K25" s="36">
        <f>'People - Forecast'!AL25</f>
        <v>0</v>
      </c>
      <c r="L25" s="36">
        <f>'People - Forecast'!AM25</f>
        <v>0</v>
      </c>
      <c r="M25" s="36">
        <f>'People - Forecast'!AN25</f>
        <v>0</v>
      </c>
      <c r="N25" s="37">
        <f t="shared" si="9"/>
        <v>0</v>
      </c>
      <c r="O25" s="36"/>
      <c r="P25" s="13">
        <f t="shared" si="2"/>
        <v>0</v>
      </c>
      <c r="Q25" s="36"/>
      <c r="R25" s="36"/>
      <c r="S25" s="36"/>
      <c r="T25" s="36"/>
      <c r="U25" s="36"/>
      <c r="V25" s="36"/>
      <c r="W25" s="36">
        <f t="shared" si="4"/>
        <v>0</v>
      </c>
      <c r="Y25" s="131">
        <f>SUMIF('Expend - OverallBUD'!$C$2:$N$2,'Expend - Forecast'!$Y$2,'Expend - OverallBUD'!$C25:$N25)</f>
        <v>0</v>
      </c>
      <c r="Z25" s="37">
        <f t="shared" si="8"/>
        <v>0</v>
      </c>
      <c r="AB25" s="131">
        <f>SUMIF('Expend - OverallPY'!$B$2:$M$2,'Expend - Forecast'!$AB$2,'Expend - OverallPY'!$B25:$M25)</f>
        <v>0</v>
      </c>
      <c r="AC25" s="36">
        <f t="shared" si="5"/>
        <v>0</v>
      </c>
      <c r="AD25" s="132" t="str">
        <f t="shared" si="10"/>
        <v>-</v>
      </c>
    </row>
    <row r="26" spans="1:30" s="19" customFormat="1">
      <c r="A26" s="24" t="s">
        <v>104</v>
      </c>
      <c r="B26" s="36">
        <f>'Expend - Overall'!B26</f>
        <v>1379.58</v>
      </c>
      <c r="C26" s="36">
        <f>'Expend - Overall'!C26</f>
        <v>1379.59</v>
      </c>
      <c r="D26" s="36">
        <f>'Expend - Overall'!D26</f>
        <v>1460.98</v>
      </c>
      <c r="E26" s="36">
        <f>'Expend - Overall'!E26</f>
        <v>1407.81</v>
      </c>
      <c r="F26" s="36">
        <f>'Expend - Overall'!F26</f>
        <v>1407.61</v>
      </c>
      <c r="G26" s="36">
        <f>'Expend - Overall'!G26</f>
        <v>0</v>
      </c>
      <c r="H26" s="36">
        <f>'Expend - Overall'!H26</f>
        <v>0</v>
      </c>
      <c r="I26" s="36">
        <f>'Expend - Overall'!I26</f>
        <v>0</v>
      </c>
      <c r="J26" s="36">
        <f>'Expend - Overall'!J26</f>
        <v>0</v>
      </c>
      <c r="K26" s="36">
        <f>'People - Forecast'!AL26</f>
        <v>765.26666666666654</v>
      </c>
      <c r="L26" s="36">
        <f>'People - Forecast'!AM26</f>
        <v>765.26666666666654</v>
      </c>
      <c r="M26" s="36">
        <f>'People - Forecast'!AN26</f>
        <v>765.26666666666654</v>
      </c>
      <c r="N26" s="37">
        <f t="shared" si="9"/>
        <v>9331.369999999999</v>
      </c>
      <c r="O26" s="36"/>
      <c r="P26" s="13">
        <f t="shared" si="2"/>
        <v>9331.369999999999</v>
      </c>
      <c r="Q26" s="36"/>
      <c r="R26" s="36"/>
      <c r="S26" s="36"/>
      <c r="T26" s="36"/>
      <c r="U26" s="36"/>
      <c r="V26" s="36"/>
      <c r="W26" s="36">
        <f t="shared" si="4"/>
        <v>9331.369999999999</v>
      </c>
      <c r="Y26" s="131">
        <f>SUMIF('Expend - OverallBUD'!$C$2:$N$2,'Expend - Forecast'!$Y$2,'Expend - OverallBUD'!$C26:$N26)</f>
        <v>16980</v>
      </c>
      <c r="Z26" s="37">
        <f t="shared" si="8"/>
        <v>7648.630000000001</v>
      </c>
      <c r="AB26" s="131">
        <f>SUMIF('Expend - OverallPY'!$B$2:$M$2,'Expend - Forecast'!$AB$2,'Expend - OverallPY'!$B26:$M26)</f>
        <v>16554.329999999998</v>
      </c>
      <c r="AC26" s="36">
        <f t="shared" si="5"/>
        <v>7222.9599999999991</v>
      </c>
      <c r="AD26" s="132">
        <f t="shared" si="10"/>
        <v>0.77405139866922013</v>
      </c>
    </row>
    <row r="27" spans="1:30" s="19" customFormat="1">
      <c r="A27" s="24" t="s">
        <v>105</v>
      </c>
      <c r="B27" s="36">
        <f>'Expend - Overall'!B27</f>
        <v>1988.63</v>
      </c>
      <c r="C27" s="36">
        <f>'Expend - Overall'!C27</f>
        <v>0</v>
      </c>
      <c r="D27" s="36">
        <f>'Expend - Overall'!D27</f>
        <v>4270.16</v>
      </c>
      <c r="E27" s="36">
        <f>'Expend - Overall'!E27</f>
        <v>2089.0500000000002</v>
      </c>
      <c r="F27" s="36">
        <f>'Expend - Overall'!F27</f>
        <v>2088.84</v>
      </c>
      <c r="G27" s="36">
        <f>'Expend - Overall'!G27</f>
        <v>0</v>
      </c>
      <c r="H27" s="36">
        <f>'Expend - Overall'!H27</f>
        <v>0</v>
      </c>
      <c r="I27" s="36">
        <f>'Expend - Overall'!I27</f>
        <v>0</v>
      </c>
      <c r="J27" s="36">
        <f>'Expend - Overall'!J27</f>
        <v>0</v>
      </c>
      <c r="K27" s="36">
        <f>'People - Forecast'!AL27</f>
        <v>1110.1666666666667</v>
      </c>
      <c r="L27" s="36">
        <f>'People - Forecast'!AM27</f>
        <v>1110.1666666666667</v>
      </c>
      <c r="M27" s="36">
        <f>'People - Forecast'!AN27</f>
        <v>1110.1666666666667</v>
      </c>
      <c r="N27" s="37">
        <f t="shared" si="9"/>
        <v>13767.179999999998</v>
      </c>
      <c r="O27" s="36"/>
      <c r="P27" s="13">
        <f t="shared" si="2"/>
        <v>13767.179999999998</v>
      </c>
      <c r="Q27" s="36"/>
      <c r="R27" s="36"/>
      <c r="S27" s="36"/>
      <c r="T27" s="36"/>
      <c r="U27" s="36"/>
      <c r="V27" s="36"/>
      <c r="W27" s="36">
        <f t="shared" si="4"/>
        <v>13767.179999999998</v>
      </c>
      <c r="Y27" s="131">
        <f>SUMIF('Expend - OverallBUD'!$C$2:$N$2,'Expend - Forecast'!$Y$2,'Expend - OverallBUD'!$C27:$N27)</f>
        <v>25224</v>
      </c>
      <c r="Z27" s="37">
        <f t="shared" si="8"/>
        <v>11456.820000000002</v>
      </c>
      <c r="AB27" s="131">
        <f>SUMIF('Expend - OverallPY'!$B$2:$M$2,'Expend - Forecast'!$AB$2,'Expend - OverallPY'!$B27:$M27)</f>
        <v>23858.38</v>
      </c>
      <c r="AC27" s="36">
        <f t="shared" si="5"/>
        <v>10091.200000000003</v>
      </c>
      <c r="AD27" s="132">
        <f t="shared" si="10"/>
        <v>0.73298961733630308</v>
      </c>
    </row>
    <row r="28" spans="1:30" s="19" customFormat="1">
      <c r="A28" s="24" t="s">
        <v>106</v>
      </c>
      <c r="B28" s="36">
        <f>'Expend - Overall'!B28</f>
        <v>1239.26</v>
      </c>
      <c r="C28" s="36">
        <f>'Expend - Overall'!C28</f>
        <v>1239.27</v>
      </c>
      <c r="D28" s="36">
        <f>'Expend - Overall'!D28</f>
        <v>1487.3</v>
      </c>
      <c r="E28" s="36">
        <f>'Expend - Overall'!E28</f>
        <v>1244.3399999999999</v>
      </c>
      <c r="F28" s="36">
        <f>'Expend - Overall'!F28</f>
        <v>1446.93</v>
      </c>
      <c r="G28" s="36">
        <f>'Expend - Overall'!G28</f>
        <v>0</v>
      </c>
      <c r="H28" s="36">
        <f>'Expend - Overall'!H28</f>
        <v>0</v>
      </c>
      <c r="I28" s="36">
        <f>'Expend - Overall'!I28</f>
        <v>0</v>
      </c>
      <c r="J28" s="36">
        <f>'Expend - Overall'!J28</f>
        <v>0</v>
      </c>
      <c r="K28" s="36">
        <f>'People - Forecast'!AL28</f>
        <v>0</v>
      </c>
      <c r="L28" s="36">
        <f>'People - Forecast'!AM28</f>
        <v>0</v>
      </c>
      <c r="M28" s="36">
        <f>'People - Forecast'!AN28</f>
        <v>0</v>
      </c>
      <c r="N28" s="37">
        <f t="shared" si="9"/>
        <v>6657.1</v>
      </c>
      <c r="O28" s="36"/>
      <c r="P28" s="13">
        <f t="shared" si="2"/>
        <v>6657.1</v>
      </c>
      <c r="Q28" s="36"/>
      <c r="R28" s="36"/>
      <c r="S28" s="36"/>
      <c r="T28" s="36"/>
      <c r="U28" s="36"/>
      <c r="V28" s="36"/>
      <c r="W28" s="36">
        <f t="shared" si="4"/>
        <v>6657.1</v>
      </c>
      <c r="Y28" s="131">
        <f>SUMIF('Expend - OverallBUD'!$C$2:$N$2,'Expend - Forecast'!$Y$2,'Expend - OverallBUD'!$C28:$N28)</f>
        <v>16356</v>
      </c>
      <c r="Z28" s="37">
        <f t="shared" si="8"/>
        <v>9698.9</v>
      </c>
      <c r="AB28" s="131">
        <f>SUMIF('Expend - OverallPY'!$B$2:$M$2,'Expend - Forecast'!$AB$2,'Expend - OverallPY'!$B28:$M28)</f>
        <v>13066</v>
      </c>
      <c r="AC28" s="36">
        <f t="shared" si="5"/>
        <v>6408.9</v>
      </c>
      <c r="AD28" s="132">
        <f t="shared" si="10"/>
        <v>0.96271649817488081</v>
      </c>
    </row>
    <row r="29" spans="1:30" s="19" customFormat="1">
      <c r="A29" s="24" t="s">
        <v>107</v>
      </c>
      <c r="B29" s="36">
        <f>'Expend - Overall'!B29</f>
        <v>0</v>
      </c>
      <c r="C29" s="36">
        <f>'Expend - Overall'!C29</f>
        <v>0</v>
      </c>
      <c r="D29" s="36">
        <f>'Expend - Overall'!D29</f>
        <v>0</v>
      </c>
      <c r="E29" s="36">
        <f>'Expend - Overall'!E29</f>
        <v>0</v>
      </c>
      <c r="F29" s="36">
        <f>'Expend - Overall'!F29</f>
        <v>0</v>
      </c>
      <c r="G29" s="36">
        <f>'Expend - Overall'!G29</f>
        <v>0</v>
      </c>
      <c r="H29" s="36">
        <f>'Expend - Overall'!H29</f>
        <v>0</v>
      </c>
      <c r="I29" s="36">
        <f>'Expend - Overall'!I29</f>
        <v>0</v>
      </c>
      <c r="J29" s="36">
        <f>'Expend - Overall'!J29</f>
        <v>0</v>
      </c>
      <c r="K29" s="36">
        <f>'People - Forecast'!AL29</f>
        <v>114.79</v>
      </c>
      <c r="L29" s="36">
        <f>'People - Forecast'!AM29</f>
        <v>114.79</v>
      </c>
      <c r="M29" s="36">
        <f>'People - Forecast'!AN29</f>
        <v>114.79</v>
      </c>
      <c r="N29" s="37">
        <f t="shared" si="9"/>
        <v>344.37</v>
      </c>
      <c r="O29" s="36"/>
      <c r="P29" s="13">
        <f t="shared" si="2"/>
        <v>344.37</v>
      </c>
      <c r="Q29" s="36"/>
      <c r="R29" s="36"/>
      <c r="S29" s="36"/>
      <c r="T29" s="36"/>
      <c r="U29" s="36"/>
      <c r="V29" s="36"/>
      <c r="W29" s="36">
        <f t="shared" si="4"/>
        <v>344.37</v>
      </c>
      <c r="Y29" s="131">
        <f>SUMIF('Expend - OverallBUD'!$C$2:$N$2,'Expend - Forecast'!$Y$2,'Expend - OverallBUD'!$C29:$N29)</f>
        <v>0</v>
      </c>
      <c r="Z29" s="37">
        <f t="shared" si="8"/>
        <v>-344.37</v>
      </c>
      <c r="AB29" s="131">
        <f>SUMIF('Expend - OverallPY'!$B$2:$M$2,'Expend - Forecast'!$AB$2,'Expend - OverallPY'!$B29:$M29)</f>
        <v>0</v>
      </c>
      <c r="AC29" s="36">
        <f t="shared" si="5"/>
        <v>-344.37</v>
      </c>
      <c r="AD29" s="132">
        <f t="shared" si="10"/>
        <v>-1</v>
      </c>
    </row>
    <row r="30" spans="1:30" s="19" customFormat="1">
      <c r="A30" s="24" t="s">
        <v>108</v>
      </c>
      <c r="B30" s="36">
        <f>'Expend - Overall'!B30</f>
        <v>0</v>
      </c>
      <c r="C30" s="36">
        <f>'Expend - Overall'!C30</f>
        <v>0</v>
      </c>
      <c r="D30" s="36">
        <f>'Expend - Overall'!D30</f>
        <v>0</v>
      </c>
      <c r="E30" s="36">
        <f>'Expend - Overall'!E30</f>
        <v>0</v>
      </c>
      <c r="F30" s="36">
        <f>'Expend - Overall'!F30</f>
        <v>0</v>
      </c>
      <c r="G30" s="36">
        <f>'Expend - Overall'!G30</f>
        <v>0</v>
      </c>
      <c r="H30" s="36">
        <f>'Expend - Overall'!H30</f>
        <v>0</v>
      </c>
      <c r="I30" s="36">
        <f>'Expend - Overall'!I30</f>
        <v>0</v>
      </c>
      <c r="J30" s="36">
        <f>'Expend - Overall'!J30</f>
        <v>0</v>
      </c>
      <c r="K30" s="36">
        <f>'People - Forecast'!AL30</f>
        <v>114.79</v>
      </c>
      <c r="L30" s="36">
        <f>'People - Forecast'!AM30</f>
        <v>114.79</v>
      </c>
      <c r="M30" s="36">
        <f>'People - Forecast'!AN30</f>
        <v>114.79</v>
      </c>
      <c r="N30" s="37">
        <f t="shared" si="9"/>
        <v>344.37</v>
      </c>
      <c r="O30" s="36"/>
      <c r="P30" s="13">
        <f t="shared" si="2"/>
        <v>344.37</v>
      </c>
      <c r="Q30" s="36"/>
      <c r="R30" s="36"/>
      <c r="S30" s="36"/>
      <c r="T30" s="36"/>
      <c r="U30" s="36"/>
      <c r="V30" s="36"/>
      <c r="W30" s="36">
        <f t="shared" si="4"/>
        <v>344.37</v>
      </c>
      <c r="Y30" s="131">
        <f>SUMIF('Expend - OverallBUD'!$C$2:$N$2,'Expend - Forecast'!$Y$2,'Expend - OverallBUD'!$C30:$N30)</f>
        <v>0</v>
      </c>
      <c r="Z30" s="37">
        <f t="shared" si="8"/>
        <v>-344.37</v>
      </c>
      <c r="AB30" s="131">
        <f>SUMIF('Expend - OverallPY'!$B$2:$M$2,'Expend - Forecast'!$AB$2,'Expend - OverallPY'!$B30:$M30)</f>
        <v>0</v>
      </c>
      <c r="AC30" s="36">
        <f t="shared" si="5"/>
        <v>-344.37</v>
      </c>
      <c r="AD30" s="132">
        <f t="shared" si="10"/>
        <v>-1</v>
      </c>
    </row>
    <row r="31" spans="1:30" s="19" customFormat="1">
      <c r="A31" s="22" t="s">
        <v>383</v>
      </c>
      <c r="B31" s="34" t="e">
        <f>'Expend - Overall'!#REF!</f>
        <v>#REF!</v>
      </c>
      <c r="C31" s="34" t="e">
        <f>'Expend - Overall'!#REF!</f>
        <v>#REF!</v>
      </c>
      <c r="D31" s="34" t="e">
        <f>'Expend - Overall'!#REF!</f>
        <v>#REF!</v>
      </c>
      <c r="E31" s="34" t="e">
        <f>'Expend - Overall'!#REF!</f>
        <v>#REF!</v>
      </c>
      <c r="F31" s="34" t="e">
        <f>'Expend - Overall'!#REF!</f>
        <v>#REF!</v>
      </c>
      <c r="G31" s="34" t="e">
        <f>'Expend - Overall'!#REF!</f>
        <v>#REF!</v>
      </c>
      <c r="H31" s="34" t="e">
        <f>'Expend - Overall'!#REF!</f>
        <v>#REF!</v>
      </c>
      <c r="I31" s="34" t="e">
        <f>'Expend - Overall'!#REF!</f>
        <v>#REF!</v>
      </c>
      <c r="J31" s="34" t="e">
        <f>'Expend - Overall'!#REF!</f>
        <v>#REF!</v>
      </c>
      <c r="K31" s="34">
        <f>'People - Forecast'!AL31</f>
        <v>1110.1666666666667</v>
      </c>
      <c r="L31" s="34">
        <f>'People - Forecast'!AM31</f>
        <v>1110.1666666666667</v>
      </c>
      <c r="M31" s="34">
        <f>'People - Forecast'!AN31</f>
        <v>1110.1666666666667</v>
      </c>
      <c r="N31" s="35" t="e">
        <f t="shared" si="9"/>
        <v>#REF!</v>
      </c>
      <c r="O31" s="36"/>
      <c r="P31" s="13" t="e">
        <f t="shared" si="2"/>
        <v>#REF!</v>
      </c>
      <c r="Q31" s="36"/>
      <c r="R31" s="36"/>
      <c r="S31" s="36"/>
      <c r="T31" s="36"/>
      <c r="U31" s="36"/>
      <c r="V31" s="36"/>
      <c r="W31" s="36" t="e">
        <f t="shared" si="4"/>
        <v>#REF!</v>
      </c>
      <c r="Y31" s="129">
        <f>SUMIF('Expend - OverallBUD'!$C$2:$N$2,'Expend - Forecast'!$Y$2,'Expend - OverallBUD'!$C31:$N31)</f>
        <v>10660</v>
      </c>
      <c r="Z31" s="35" t="e">
        <f t="shared" si="8"/>
        <v>#REF!</v>
      </c>
      <c r="AB31" s="129">
        <f>SUMIF('Expend - OverallPY'!$B$2:$M$2,'Expend - Forecast'!$AB$2,'Expend - OverallPY'!$B31:$M31)</f>
        <v>11317.929999999998</v>
      </c>
      <c r="AC31" s="34" t="e">
        <f t="shared" si="5"/>
        <v>#REF!</v>
      </c>
      <c r="AD31" s="130" t="str">
        <f t="shared" si="10"/>
        <v>-</v>
      </c>
    </row>
    <row r="32" spans="1:30" s="19" customFormat="1" ht="7.5" customHeight="1">
      <c r="A32" s="38"/>
      <c r="B32" s="36"/>
      <c r="C32" s="36"/>
      <c r="D32" s="36"/>
      <c r="E32" s="36"/>
      <c r="F32" s="36"/>
      <c r="G32" s="36"/>
      <c r="H32" s="36"/>
      <c r="I32" s="36"/>
      <c r="J32" s="36"/>
      <c r="K32" s="36"/>
      <c r="L32" s="36"/>
      <c r="M32" s="36"/>
      <c r="N32" s="36"/>
      <c r="O32" s="36"/>
      <c r="P32" s="13"/>
      <c r="Q32" s="13"/>
      <c r="R32" s="13"/>
      <c r="S32" s="13"/>
      <c r="T32" s="13"/>
      <c r="U32" s="13"/>
      <c r="V32" s="13"/>
      <c r="W32" s="13"/>
      <c r="Y32" s="36"/>
      <c r="Z32" s="36"/>
      <c r="AB32" s="36"/>
    </row>
    <row r="33" spans="1:30">
      <c r="A33" s="15" t="s">
        <v>110</v>
      </c>
      <c r="B33" s="13">
        <f>SUM(B34:B35)</f>
        <v>8263.73</v>
      </c>
      <c r="C33" s="13">
        <f t="shared" ref="C33:O33" si="11">SUM(C34:C35)</f>
        <v>869.89</v>
      </c>
      <c r="D33" s="13">
        <f t="shared" si="11"/>
        <v>19098.32</v>
      </c>
      <c r="E33" s="13">
        <f t="shared" si="11"/>
        <v>-16600.86</v>
      </c>
      <c r="F33" s="13">
        <f t="shared" si="11"/>
        <v>120.67</v>
      </c>
      <c r="G33" s="13">
        <f t="shared" si="11"/>
        <v>0</v>
      </c>
      <c r="H33" s="13">
        <f t="shared" si="11"/>
        <v>0</v>
      </c>
      <c r="I33" s="13">
        <f t="shared" si="11"/>
        <v>0</v>
      </c>
      <c r="J33" s="13">
        <f t="shared" si="11"/>
        <v>0</v>
      </c>
      <c r="K33" s="13">
        <f t="shared" si="11"/>
        <v>200</v>
      </c>
      <c r="L33" s="13">
        <f t="shared" si="11"/>
        <v>200</v>
      </c>
      <c r="M33" s="13">
        <f t="shared" si="11"/>
        <v>200</v>
      </c>
      <c r="N33" s="13">
        <f t="shared" ref="N33:N59" si="12">SUM(B33:M33)</f>
        <v>12351.749999999998</v>
      </c>
      <c r="O33" s="13">
        <f t="shared" si="11"/>
        <v>0</v>
      </c>
      <c r="P33" s="13">
        <f t="shared" si="2"/>
        <v>12351.749999999998</v>
      </c>
      <c r="Q33" s="13"/>
      <c r="R33" s="13"/>
      <c r="S33" s="13"/>
      <c r="T33" s="13"/>
      <c r="U33" s="13"/>
      <c r="V33" s="13"/>
      <c r="W33" s="13">
        <f>SUM(P33:V33)</f>
        <v>12351.749999999998</v>
      </c>
      <c r="Y33" s="13">
        <f>SUM(Y34:Y35)</f>
        <v>23600</v>
      </c>
      <c r="Z33" s="13">
        <f>SUM(Z34:Z35)</f>
        <v>11248.250000000002</v>
      </c>
      <c r="AB33" s="13">
        <f>SUM(AB34:AB35)</f>
        <v>21232.75</v>
      </c>
      <c r="AC33" s="13">
        <f>AB33-N33</f>
        <v>8881.0000000000018</v>
      </c>
      <c r="AD33" s="124">
        <f>IF(ISERROR((AB33/N33)-1),"-",(AB33/N33)-1)</f>
        <v>0.71900742809723339</v>
      </c>
    </row>
    <row r="34" spans="1:30" s="19" customFormat="1">
      <c r="A34" s="20" t="s">
        <v>111</v>
      </c>
      <c r="B34" s="32">
        <f>'Expend - Overall'!B34</f>
        <v>8263.73</v>
      </c>
      <c r="C34" s="32">
        <f>'Expend - Overall'!C34</f>
        <v>869.89</v>
      </c>
      <c r="D34" s="32">
        <f>'Expend - Overall'!D34</f>
        <v>19098.32</v>
      </c>
      <c r="E34" s="32">
        <f>'Expend - Overall'!E34</f>
        <v>-17692.86</v>
      </c>
      <c r="F34" s="32">
        <f>'Expend - Overall'!F34</f>
        <v>120.67</v>
      </c>
      <c r="G34" s="32">
        <f>'Expend - Overall'!G34</f>
        <v>0</v>
      </c>
      <c r="H34" s="32">
        <f>'Expend - Overall'!H34</f>
        <v>0</v>
      </c>
      <c r="I34" s="32">
        <f>'Expend - Overall'!I34</f>
        <v>0</v>
      </c>
      <c r="J34" s="32">
        <f>'Expend - Overall'!J34</f>
        <v>0</v>
      </c>
      <c r="K34" s="32">
        <v>200</v>
      </c>
      <c r="L34" s="32">
        <v>200</v>
      </c>
      <c r="M34" s="32">
        <v>200</v>
      </c>
      <c r="N34" s="33">
        <f t="shared" si="12"/>
        <v>11259.749999999998</v>
      </c>
      <c r="O34" s="36"/>
      <c r="P34" s="13">
        <f t="shared" si="2"/>
        <v>11259.749999999998</v>
      </c>
      <c r="Q34" s="13"/>
      <c r="R34" s="13"/>
      <c r="S34" s="13"/>
      <c r="T34" s="13"/>
      <c r="U34" s="13"/>
      <c r="V34" s="13"/>
      <c r="W34" s="13">
        <f>SUM(P34:V34)</f>
        <v>11259.749999999998</v>
      </c>
      <c r="Y34" s="127">
        <f>SUMIF('Expend - OverallBUD'!$C$2:$N$2,'Expend - Forecast'!$Y$2,'Expend - OverallBUD'!$C33:$N33)</f>
        <v>13000</v>
      </c>
      <c r="Z34" s="33">
        <f>Y34-N34</f>
        <v>1740.2500000000018</v>
      </c>
      <c r="AB34" s="127">
        <f>SUMIF('Expend - OverallPY'!$B$2:$M$2,'Expend - Forecast'!$AB$2,'Expend - OverallPY'!$B34:$M34)</f>
        <v>20582.75</v>
      </c>
      <c r="AC34" s="32">
        <f>AB34-N34</f>
        <v>9323.0000000000018</v>
      </c>
      <c r="AD34" s="128">
        <f>IF(ISERROR((AB34/N34)-1),"-",(AB34/N34)-1)</f>
        <v>0.82799351672994548</v>
      </c>
    </row>
    <row r="35" spans="1:30" s="19" customFormat="1">
      <c r="A35" s="22" t="s">
        <v>112</v>
      </c>
      <c r="B35" s="34">
        <f>'Expend - Overall'!B35</f>
        <v>0</v>
      </c>
      <c r="C35" s="34">
        <f>'Expend - Overall'!C35</f>
        <v>0</v>
      </c>
      <c r="D35" s="34">
        <f>'Expend - Overall'!D35</f>
        <v>0</v>
      </c>
      <c r="E35" s="34">
        <f>'Expend - Overall'!E35</f>
        <v>1092</v>
      </c>
      <c r="F35" s="34">
        <f>'Expend - Overall'!F35</f>
        <v>0</v>
      </c>
      <c r="G35" s="34">
        <f>'Expend - Overall'!G35</f>
        <v>0</v>
      </c>
      <c r="H35" s="34">
        <f>'Expend - Overall'!H35</f>
        <v>0</v>
      </c>
      <c r="I35" s="34">
        <f>'Expend - Overall'!I35</f>
        <v>0</v>
      </c>
      <c r="J35" s="34">
        <f>'Expend - Overall'!J35</f>
        <v>0</v>
      </c>
      <c r="K35" s="34"/>
      <c r="L35" s="34"/>
      <c r="M35" s="34"/>
      <c r="N35" s="35">
        <f t="shared" si="12"/>
        <v>1092</v>
      </c>
      <c r="O35" s="36"/>
      <c r="P35" s="13">
        <f t="shared" si="2"/>
        <v>1092</v>
      </c>
      <c r="Q35" s="13"/>
      <c r="R35" s="13"/>
      <c r="S35" s="13"/>
      <c r="T35" s="13"/>
      <c r="U35" s="13"/>
      <c r="V35" s="13"/>
      <c r="W35" s="13">
        <f>SUM(P35:V35)</f>
        <v>1092</v>
      </c>
      <c r="Y35" s="129">
        <f>SUMIF('Expend - OverallBUD'!$C$2:$N$2,'Expend - Forecast'!$Y$2,'Expend - OverallBUD'!$C34:$N34)</f>
        <v>10600</v>
      </c>
      <c r="Z35" s="35">
        <f>Y35-N35</f>
        <v>9508</v>
      </c>
      <c r="AB35" s="129">
        <f>SUMIF('Expend - OverallPY'!$B$2:$M$2,'Expend - Forecast'!$AB$2,'Expend - OverallPY'!$B35:$M35)</f>
        <v>650</v>
      </c>
      <c r="AC35" s="34">
        <f>AB35-N35</f>
        <v>-442</v>
      </c>
      <c r="AD35" s="130">
        <f>IF(ISERROR((AB35/N35)-1),"-",(AB35/N35)-1)</f>
        <v>-0.40476190476190477</v>
      </c>
    </row>
    <row r="36" spans="1:30" s="19" customFormat="1" ht="7.5" customHeight="1">
      <c r="A36" s="38"/>
      <c r="B36" s="36"/>
      <c r="C36" s="36"/>
      <c r="D36" s="36"/>
      <c r="E36" s="36"/>
      <c r="F36" s="36"/>
      <c r="G36" s="36"/>
      <c r="H36" s="36"/>
      <c r="I36" s="36"/>
      <c r="J36" s="36"/>
      <c r="K36" s="36"/>
      <c r="L36" s="36"/>
      <c r="M36" s="36"/>
      <c r="N36" s="36"/>
      <c r="O36" s="36"/>
      <c r="P36" s="13"/>
      <c r="Q36" s="13"/>
      <c r="R36" s="13"/>
      <c r="S36" s="13"/>
      <c r="T36" s="13"/>
      <c r="U36" s="13"/>
      <c r="V36" s="13"/>
      <c r="W36" s="13"/>
      <c r="Y36" s="36"/>
      <c r="Z36" s="36"/>
      <c r="AB36" s="36"/>
    </row>
    <row r="37" spans="1:30">
      <c r="A37" s="15" t="s">
        <v>113</v>
      </c>
      <c r="B37" s="13">
        <f>'Expend - Overall'!B37</f>
        <v>400</v>
      </c>
      <c r="C37" s="13">
        <f>'Expend - Overall'!C37</f>
        <v>0</v>
      </c>
      <c r="D37" s="13">
        <f>'Expend - Overall'!D37</f>
        <v>0</v>
      </c>
      <c r="E37" s="13">
        <f>'Expend - Overall'!E37</f>
        <v>438.03</v>
      </c>
      <c r="F37" s="13">
        <f>'Expend - Overall'!F37</f>
        <v>439</v>
      </c>
      <c r="G37" s="13">
        <f>'Expend - Overall'!G37</f>
        <v>0</v>
      </c>
      <c r="H37" s="13">
        <f>'Expend - Overall'!H37</f>
        <v>0</v>
      </c>
      <c r="I37" s="13">
        <f>'Expend - Overall'!I37</f>
        <v>0</v>
      </c>
      <c r="J37" s="13">
        <f>'Expend - Overall'!J37</f>
        <v>0</v>
      </c>
      <c r="K37" s="13">
        <f>J37</f>
        <v>0</v>
      </c>
      <c r="L37" s="13">
        <f>K37</f>
        <v>0</v>
      </c>
      <c r="M37" s="13">
        <f>L37</f>
        <v>0</v>
      </c>
      <c r="N37" s="13">
        <f t="shared" si="12"/>
        <v>1277.03</v>
      </c>
      <c r="O37" s="13"/>
      <c r="P37" s="13">
        <f t="shared" si="2"/>
        <v>1277.03</v>
      </c>
      <c r="Q37" s="13"/>
      <c r="R37" s="13"/>
      <c r="S37" s="13"/>
      <c r="T37" s="13"/>
      <c r="U37" s="13"/>
      <c r="V37" s="13"/>
      <c r="W37" s="13">
        <f>SUM(P37:V37)</f>
        <v>1277.03</v>
      </c>
      <c r="Y37" s="13">
        <f>SUMIF('Expend - OverallBUD'!$C$2:$N$2,'Expend - Forecast'!$Y$2,'Expend - OverallBUD'!$C36:$N36)</f>
        <v>0</v>
      </c>
      <c r="Z37" s="13">
        <f>Y37-N37</f>
        <v>-1277.03</v>
      </c>
      <c r="AB37" s="13">
        <f>SUMIF('Expend - OverallPY'!$B$2:$M$2,'Expend - Forecast'!$AB$2,'Expend - OverallPY'!$B37:$M37)</f>
        <v>3966.31</v>
      </c>
      <c r="AC37" s="13">
        <f>AB37-N37</f>
        <v>2689.2799999999997</v>
      </c>
      <c r="AD37" s="124">
        <f>IF(ISERROR((AB37/N37)-1),"-",(AB37/N37)-1)</f>
        <v>2.105886314338739</v>
      </c>
    </row>
    <row r="38" spans="1:30">
      <c r="A38" s="15" t="s">
        <v>114</v>
      </c>
      <c r="B38" s="13">
        <f>SUM(B39:B41)</f>
        <v>1837.7800000000002</v>
      </c>
      <c r="C38" s="13">
        <f t="shared" ref="C38:O38" si="13">SUM(C39:C41)</f>
        <v>1236.76</v>
      </c>
      <c r="D38" s="13">
        <f t="shared" si="13"/>
        <v>2397.94</v>
      </c>
      <c r="E38" s="13">
        <f t="shared" si="13"/>
        <v>1889.2199999999998</v>
      </c>
      <c r="F38" s="13">
        <f t="shared" si="13"/>
        <v>1602.02</v>
      </c>
      <c r="G38" s="13">
        <f t="shared" si="13"/>
        <v>0</v>
      </c>
      <c r="H38" s="13">
        <f t="shared" si="13"/>
        <v>0</v>
      </c>
      <c r="I38" s="13">
        <f t="shared" si="13"/>
        <v>0</v>
      </c>
      <c r="J38" s="13">
        <f t="shared" si="13"/>
        <v>0</v>
      </c>
      <c r="K38" s="13">
        <f t="shared" si="13"/>
        <v>0</v>
      </c>
      <c r="L38" s="13">
        <f t="shared" si="13"/>
        <v>750</v>
      </c>
      <c r="M38" s="13">
        <f t="shared" si="13"/>
        <v>0</v>
      </c>
      <c r="N38" s="13">
        <f t="shared" si="12"/>
        <v>9713.7199999999993</v>
      </c>
      <c r="O38" s="13">
        <f t="shared" si="13"/>
        <v>0</v>
      </c>
      <c r="P38" s="13">
        <f t="shared" si="2"/>
        <v>9713.7199999999993</v>
      </c>
      <c r="Q38" s="13"/>
      <c r="R38" s="13"/>
      <c r="S38" s="13"/>
      <c r="T38" s="13"/>
      <c r="U38" s="13"/>
      <c r="V38" s="13"/>
      <c r="W38" s="13">
        <f>SUM(P38:V38)</f>
        <v>9713.7199999999993</v>
      </c>
      <c r="Y38" s="13">
        <f>SUM(Y39:Y41)</f>
        <v>24336</v>
      </c>
      <c r="Z38" s="13">
        <f>SUM(Z39:Z41)</f>
        <v>14622.28</v>
      </c>
      <c r="AB38" s="13">
        <f>SUM(AB39:AB41)</f>
        <v>17526.28</v>
      </c>
      <c r="AC38" s="13">
        <f>AB38-N38</f>
        <v>7812.5599999999995</v>
      </c>
      <c r="AD38" s="124">
        <f>IF(ISERROR((AB38/N38)-1),"-",(AB38/N38)-1)</f>
        <v>0.80428095518503717</v>
      </c>
    </row>
    <row r="39" spans="1:30" s="19" customFormat="1">
      <c r="A39" s="20" t="s">
        <v>115</v>
      </c>
      <c r="B39" s="32">
        <f>'Expend - Overall'!B39</f>
        <v>1245.6500000000001</v>
      </c>
      <c r="C39" s="32">
        <f>'Expend - Overall'!C39</f>
        <v>1236.76</v>
      </c>
      <c r="D39" s="32">
        <f>'Expend - Overall'!D39</f>
        <v>1213.68</v>
      </c>
      <c r="E39" s="32">
        <f>'Expend - Overall'!E39</f>
        <v>1297.0899999999999</v>
      </c>
      <c r="F39" s="32">
        <f>'Expend - Overall'!F39</f>
        <v>1009.89</v>
      </c>
      <c r="G39" s="32">
        <f>'Expend - Overall'!G39</f>
        <v>0</v>
      </c>
      <c r="H39" s="32">
        <f>'Expend - Overall'!H39</f>
        <v>0</v>
      </c>
      <c r="I39" s="32">
        <f>'Expend - Overall'!I39</f>
        <v>0</v>
      </c>
      <c r="J39" s="32">
        <f>'Expend - Overall'!J39</f>
        <v>0</v>
      </c>
      <c r="K39" s="32"/>
      <c r="L39" s="32">
        <v>750</v>
      </c>
      <c r="M39" s="32"/>
      <c r="N39" s="33">
        <f t="shared" si="12"/>
        <v>6753.0700000000006</v>
      </c>
      <c r="O39" s="36"/>
      <c r="P39" s="13">
        <f t="shared" si="2"/>
        <v>6753.0700000000006</v>
      </c>
      <c r="Q39" s="13"/>
      <c r="R39" s="13"/>
      <c r="S39" s="13"/>
      <c r="T39" s="13"/>
      <c r="U39" s="13"/>
      <c r="V39" s="13"/>
      <c r="W39" s="13">
        <f>SUM(P39:V39)</f>
        <v>6753.0700000000006</v>
      </c>
      <c r="Y39" s="127">
        <f>SUMIF('Expend - OverallBUD'!$C$2:$N$2,'Expend - Forecast'!$Y$2,'Expend - OverallBUD'!$C38:$N38)</f>
        <v>15036</v>
      </c>
      <c r="Z39" s="33">
        <f>Y39-N39</f>
        <v>8282.93</v>
      </c>
      <c r="AB39" s="127">
        <f>SUMIF('Expend - OverallPY'!$B$2:$M$2,'Expend - Forecast'!$AB$2,'Expend - OverallPY'!$B39:$M39)</f>
        <v>12036.759999999998</v>
      </c>
      <c r="AC39" s="32">
        <f>AB39-N39</f>
        <v>5283.6899999999978</v>
      </c>
      <c r="AD39" s="128">
        <f>IF(ISERROR((AB39/N39)-1),"-",(AB39/N39)-1)</f>
        <v>0.78241303584888011</v>
      </c>
    </row>
    <row r="40" spans="1:30" s="19" customFormat="1">
      <c r="A40" s="24" t="s">
        <v>116</v>
      </c>
      <c r="B40" s="36">
        <f>'Expend - Overall'!B40</f>
        <v>0</v>
      </c>
      <c r="C40" s="36">
        <f>'Expend - Overall'!C40</f>
        <v>0</v>
      </c>
      <c r="D40" s="36">
        <f>'Expend - Overall'!D40</f>
        <v>0</v>
      </c>
      <c r="E40" s="36">
        <f>'Expend - Overall'!E40</f>
        <v>0</v>
      </c>
      <c r="F40" s="36">
        <f>'Expend - Overall'!F40</f>
        <v>0</v>
      </c>
      <c r="G40" s="36">
        <f>'Expend - Overall'!G40</f>
        <v>0</v>
      </c>
      <c r="H40" s="36">
        <f>'Expend - Overall'!H40</f>
        <v>0</v>
      </c>
      <c r="I40" s="36">
        <f>'Expend - Overall'!I40</f>
        <v>0</v>
      </c>
      <c r="J40" s="36">
        <f>'Expend - Overall'!J40</f>
        <v>0</v>
      </c>
      <c r="K40" s="36">
        <f>J40</f>
        <v>0</v>
      </c>
      <c r="L40" s="36">
        <f>K40</f>
        <v>0</v>
      </c>
      <c r="M40" s="36">
        <f>L40</f>
        <v>0</v>
      </c>
      <c r="N40" s="37">
        <f>SUM(B40:M40)</f>
        <v>0</v>
      </c>
      <c r="O40" s="36"/>
      <c r="P40" s="13">
        <f t="shared" si="2"/>
        <v>0</v>
      </c>
      <c r="Q40" s="13"/>
      <c r="R40" s="13"/>
      <c r="S40" s="13"/>
      <c r="T40" s="13"/>
      <c r="U40" s="13"/>
      <c r="V40" s="13"/>
      <c r="W40" s="13">
        <f>SUM(P40:V40)</f>
        <v>0</v>
      </c>
      <c r="Y40" s="131">
        <f>SUMIF('Expend - OverallBUD'!$C$2:$N$2,'Expend - Forecast'!$Y$2,'Expend - OverallBUD'!$C39:$N39)</f>
        <v>9300</v>
      </c>
      <c r="Z40" s="37">
        <f>Y40-N40</f>
        <v>9300</v>
      </c>
      <c r="AB40" s="131">
        <f>SUMIF('Expend - OverallPY'!$B$2:$M$2,'Expend - Forecast'!$AB$2,'Expend - OverallPY'!$B40:$M40)</f>
        <v>0</v>
      </c>
      <c r="AC40" s="36">
        <f>AB40-N40</f>
        <v>0</v>
      </c>
      <c r="AD40" s="132" t="str">
        <f>IF(ISERROR((AB40/N40)-1),"-",(AB40/N40)-1)</f>
        <v>-</v>
      </c>
    </row>
    <row r="41" spans="1:30" s="19" customFormat="1">
      <c r="A41" s="22" t="s">
        <v>117</v>
      </c>
      <c r="B41" s="34">
        <f>'Expend - Overall'!B41</f>
        <v>592.13</v>
      </c>
      <c r="C41" s="34">
        <f>'Expend - Overall'!C41</f>
        <v>0</v>
      </c>
      <c r="D41" s="34">
        <f>'Expend - Overall'!D41</f>
        <v>1184.26</v>
      </c>
      <c r="E41" s="34">
        <f>'Expend - Overall'!E41</f>
        <v>592.13</v>
      </c>
      <c r="F41" s="34">
        <f>'Expend - Overall'!F41</f>
        <v>592.13</v>
      </c>
      <c r="G41" s="34">
        <f>'Expend - Overall'!G41</f>
        <v>0</v>
      </c>
      <c r="H41" s="34">
        <f>'Expend - Overall'!H41</f>
        <v>0</v>
      </c>
      <c r="I41" s="34">
        <f>'Expend - Overall'!I41</f>
        <v>0</v>
      </c>
      <c r="J41" s="34">
        <f>'Expend - Overall'!J41</f>
        <v>0</v>
      </c>
      <c r="K41" s="34"/>
      <c r="L41" s="34">
        <f>I41</f>
        <v>0</v>
      </c>
      <c r="M41" s="34">
        <f>L41</f>
        <v>0</v>
      </c>
      <c r="N41" s="35">
        <f t="shared" si="12"/>
        <v>2960.65</v>
      </c>
      <c r="O41" s="36"/>
      <c r="P41" s="13">
        <f t="shared" si="2"/>
        <v>2960.65</v>
      </c>
      <c r="Q41" s="13"/>
      <c r="R41" s="13"/>
      <c r="S41" s="13"/>
      <c r="T41" s="13"/>
      <c r="U41" s="13"/>
      <c r="V41" s="13"/>
      <c r="W41" s="13">
        <f>SUM(P41:V41)</f>
        <v>2960.65</v>
      </c>
      <c r="Y41" s="129">
        <f>SUMIF('Expend - OverallBUD'!$C$2:$N$2,'Expend - Forecast'!$Y$2,'Expend - OverallBUD'!$C40:$N40)</f>
        <v>0</v>
      </c>
      <c r="Z41" s="35">
        <f>Y41-N41</f>
        <v>-2960.65</v>
      </c>
      <c r="AB41" s="129">
        <f>SUMIF('Expend - OverallPY'!$B$2:$M$2,'Expend - Forecast'!$AB$2,'Expend - OverallPY'!$B41:$M41)</f>
        <v>5489.5199999999995</v>
      </c>
      <c r="AC41" s="34">
        <f>AB41-N41</f>
        <v>2528.8699999999994</v>
      </c>
      <c r="AD41" s="130">
        <f>IF(ISERROR((AB41/N41)-1),"-",(AB41/N41)-1)</f>
        <v>0.85416040396534521</v>
      </c>
    </row>
    <row r="42" spans="1:30" s="19" customFormat="1" ht="7.5" customHeight="1">
      <c r="A42" s="38"/>
      <c r="B42" s="36"/>
      <c r="C42" s="36"/>
      <c r="D42" s="36"/>
      <c r="E42" s="36"/>
      <c r="F42" s="36"/>
      <c r="G42" s="36"/>
      <c r="H42" s="36"/>
      <c r="I42" s="36"/>
      <c r="J42" s="36"/>
      <c r="K42" s="36"/>
      <c r="L42" s="36"/>
      <c r="M42" s="36"/>
      <c r="N42" s="36"/>
      <c r="O42" s="36"/>
      <c r="P42" s="13"/>
      <c r="Q42" s="13"/>
      <c r="R42" s="13"/>
      <c r="S42" s="13"/>
      <c r="T42" s="13"/>
      <c r="U42" s="13"/>
      <c r="V42" s="13"/>
      <c r="W42" s="13"/>
      <c r="Y42" s="36"/>
      <c r="Z42" s="36"/>
      <c r="AB42" s="36"/>
    </row>
    <row r="43" spans="1:30">
      <c r="A43" s="15" t="s">
        <v>118</v>
      </c>
      <c r="B43" s="13">
        <f>SUM(B44:B45)</f>
        <v>163.14000000000001</v>
      </c>
      <c r="C43" s="13">
        <f t="shared" ref="C43:O43" si="14">SUM(C44:C45)</f>
        <v>142.72</v>
      </c>
      <c r="D43" s="13">
        <f t="shared" si="14"/>
        <v>59.58</v>
      </c>
      <c r="E43" s="13">
        <f t="shared" si="14"/>
        <v>93.759999999999991</v>
      </c>
      <c r="F43" s="13">
        <f t="shared" si="14"/>
        <v>74.61</v>
      </c>
      <c r="G43" s="13">
        <f t="shared" si="14"/>
        <v>0</v>
      </c>
      <c r="H43" s="13">
        <f t="shared" si="14"/>
        <v>0</v>
      </c>
      <c r="I43" s="13">
        <f t="shared" si="14"/>
        <v>0</v>
      </c>
      <c r="J43" s="13">
        <f t="shared" si="14"/>
        <v>0</v>
      </c>
      <c r="K43" s="13">
        <f t="shared" si="14"/>
        <v>88.968333333333334</v>
      </c>
      <c r="L43" s="13">
        <f t="shared" si="14"/>
        <v>88.968333333333334</v>
      </c>
      <c r="M43" s="13">
        <f t="shared" si="14"/>
        <v>88.968333333333334</v>
      </c>
      <c r="N43" s="13">
        <f t="shared" si="12"/>
        <v>800.71500000000003</v>
      </c>
      <c r="O43" s="13">
        <f t="shared" si="14"/>
        <v>0</v>
      </c>
      <c r="P43" s="13">
        <f t="shared" si="2"/>
        <v>800.71500000000003</v>
      </c>
      <c r="Q43" s="13"/>
      <c r="R43" s="13"/>
      <c r="S43" s="13"/>
      <c r="T43" s="13"/>
      <c r="U43" s="13"/>
      <c r="V43" s="13"/>
      <c r="W43" s="13">
        <f>SUM(P43:V43)</f>
        <v>800.71500000000003</v>
      </c>
      <c r="Y43" s="13">
        <f>SUM(Y44:Y45)</f>
        <v>2088</v>
      </c>
      <c r="Z43" s="13">
        <f>SUM(Z44:Z45)</f>
        <v>1287.2850000000001</v>
      </c>
      <c r="AB43" s="13">
        <f>SUM(AB44:AB45)</f>
        <v>1327.9099999999999</v>
      </c>
      <c r="AC43" s="13">
        <f>AB43-N43</f>
        <v>527.19499999999982</v>
      </c>
      <c r="AD43" s="124">
        <f>IF(ISERROR((AB43/N43)-1),"-",(AB43/N43)-1)</f>
        <v>0.65840530026288979</v>
      </c>
    </row>
    <row r="44" spans="1:30" s="19" customFormat="1">
      <c r="A44" s="20" t="s">
        <v>119</v>
      </c>
      <c r="B44" s="32">
        <f>'Expend - Overall'!B44</f>
        <v>59.96</v>
      </c>
      <c r="C44" s="32">
        <f>'Expend - Overall'!C44</f>
        <v>64.5</v>
      </c>
      <c r="D44" s="32">
        <f>'Expend - Overall'!D44</f>
        <v>59.58</v>
      </c>
      <c r="E44" s="32">
        <f>'Expend - Overall'!E44</f>
        <v>74.27</v>
      </c>
      <c r="F44" s="32">
        <f>'Expend - Overall'!F44</f>
        <v>64.61</v>
      </c>
      <c r="G44" s="32">
        <f>'Expend - Overall'!G44</f>
        <v>0</v>
      </c>
      <c r="H44" s="32">
        <f>'Expend - Overall'!H44</f>
        <v>0</v>
      </c>
      <c r="I44" s="32">
        <f>'Expend - Overall'!I44</f>
        <v>0</v>
      </c>
      <c r="J44" s="32">
        <f>'Expend - Overall'!J44</f>
        <v>0</v>
      </c>
      <c r="K44" s="32">
        <f t="shared" ref="K44:M45" si="15">AVERAGE($B44:$G44)</f>
        <v>53.82</v>
      </c>
      <c r="L44" s="32">
        <f t="shared" si="15"/>
        <v>53.82</v>
      </c>
      <c r="M44" s="32">
        <f t="shared" si="15"/>
        <v>53.82</v>
      </c>
      <c r="N44" s="33">
        <f t="shared" si="12"/>
        <v>484.38</v>
      </c>
      <c r="O44" s="36"/>
      <c r="P44" s="13">
        <f t="shared" si="2"/>
        <v>484.38</v>
      </c>
      <c r="Q44" s="13"/>
      <c r="R44" s="13"/>
      <c r="S44" s="13"/>
      <c r="T44" s="13"/>
      <c r="U44" s="13"/>
      <c r="V44" s="13"/>
      <c r="W44" s="13">
        <f>SUM(P44:V44)</f>
        <v>484.38</v>
      </c>
      <c r="Y44" s="127">
        <f>SUMIF('Expend - OverallBUD'!$C$2:$N$2,'Expend - Forecast'!$Y$2,'Expend - OverallBUD'!$C43:$N43)</f>
        <v>1344</v>
      </c>
      <c r="Z44" s="33">
        <f>Y44-N44</f>
        <v>859.62</v>
      </c>
      <c r="AB44" s="127">
        <f>SUMIF('Expend - OverallPY'!$B$2:$M$2,'Expend - Forecast'!$AB$2,'Expend - OverallPY'!$B44:$M44)</f>
        <v>738.24</v>
      </c>
      <c r="AC44" s="32">
        <f>AB44-N44</f>
        <v>253.86</v>
      </c>
      <c r="AD44" s="128">
        <f>IF(ISERROR((AB44/N44)-1),"-",(AB44/N44)-1)</f>
        <v>0.52409265452743714</v>
      </c>
    </row>
    <row r="45" spans="1:30" s="19" customFormat="1">
      <c r="A45" s="22" t="s">
        <v>120</v>
      </c>
      <c r="B45" s="34">
        <f>'Expend - Overall'!B45</f>
        <v>103.18</v>
      </c>
      <c r="C45" s="34">
        <f>'Expend - Overall'!C45</f>
        <v>78.22</v>
      </c>
      <c r="D45" s="34">
        <f>'Expend - Overall'!D45</f>
        <v>0</v>
      </c>
      <c r="E45" s="34">
        <f>'Expend - Overall'!E45</f>
        <v>19.489999999999998</v>
      </c>
      <c r="F45" s="34">
        <f>'Expend - Overall'!F45</f>
        <v>10</v>
      </c>
      <c r="G45" s="34">
        <f>'Expend - Overall'!G45</f>
        <v>0</v>
      </c>
      <c r="H45" s="34">
        <f>'Expend - Overall'!H45</f>
        <v>0</v>
      </c>
      <c r="I45" s="34">
        <f>'Expend - Overall'!I45</f>
        <v>0</v>
      </c>
      <c r="J45" s="34">
        <f>'Expend - Overall'!J45</f>
        <v>0</v>
      </c>
      <c r="K45" s="34">
        <f t="shared" si="15"/>
        <v>35.148333333333333</v>
      </c>
      <c r="L45" s="34">
        <f t="shared" si="15"/>
        <v>35.148333333333333</v>
      </c>
      <c r="M45" s="34">
        <f t="shared" si="15"/>
        <v>35.148333333333333</v>
      </c>
      <c r="N45" s="35">
        <f t="shared" si="12"/>
        <v>316.33499999999998</v>
      </c>
      <c r="O45" s="36"/>
      <c r="P45" s="13">
        <f t="shared" si="2"/>
        <v>316.33499999999998</v>
      </c>
      <c r="Q45" s="13"/>
      <c r="R45" s="13"/>
      <c r="S45" s="13"/>
      <c r="T45" s="13"/>
      <c r="U45" s="13"/>
      <c r="V45" s="13"/>
      <c r="W45" s="13">
        <f>SUM(P45:V45)</f>
        <v>316.33499999999998</v>
      </c>
      <c r="Y45" s="129">
        <f>SUMIF('Expend - OverallBUD'!$C$2:$N$2,'Expend - Forecast'!$Y$2,'Expend - OverallBUD'!$C44:$N44)</f>
        <v>744</v>
      </c>
      <c r="Z45" s="35">
        <f>Y45-N45</f>
        <v>427.66500000000002</v>
      </c>
      <c r="AB45" s="129">
        <f>SUMIF('Expend - OverallPY'!$B$2:$M$2,'Expend - Forecast'!$AB$2,'Expend - OverallPY'!$B45:$M45)</f>
        <v>589.66999999999996</v>
      </c>
      <c r="AC45" s="34">
        <f>AB45-N45</f>
        <v>273.33499999999998</v>
      </c>
      <c r="AD45" s="130">
        <f>IF(ISERROR((AB45/N45)-1),"-",(AB45/N45)-1)</f>
        <v>0.86406815559454375</v>
      </c>
    </row>
    <row r="46" spans="1:30" s="19" customFormat="1" ht="7.5" customHeight="1">
      <c r="A46" s="38"/>
      <c r="B46" s="36"/>
      <c r="C46" s="36"/>
      <c r="D46" s="36"/>
      <c r="E46" s="36"/>
      <c r="F46" s="36"/>
      <c r="G46" s="36"/>
      <c r="H46" s="36"/>
      <c r="I46" s="36"/>
      <c r="J46" s="36"/>
      <c r="K46" s="36"/>
      <c r="L46" s="36"/>
      <c r="M46" s="36"/>
      <c r="N46" s="36"/>
      <c r="O46" s="36"/>
      <c r="P46" s="13"/>
      <c r="Q46" s="13"/>
      <c r="R46" s="13"/>
      <c r="S46" s="13"/>
      <c r="T46" s="13"/>
      <c r="U46" s="13"/>
      <c r="V46" s="13"/>
      <c r="W46" s="13"/>
      <c r="Y46" s="36"/>
      <c r="Z46" s="36"/>
      <c r="AB46" s="36"/>
    </row>
    <row r="47" spans="1:30">
      <c r="A47" s="15" t="s">
        <v>121</v>
      </c>
      <c r="B47" s="13">
        <f>'Expend - Overall'!B47</f>
        <v>-747.94</v>
      </c>
      <c r="C47" s="13">
        <f>'Expend - Overall'!C47</f>
        <v>-931.76</v>
      </c>
      <c r="D47" s="13">
        <f>'Expend - Overall'!D47</f>
        <v>649.69000000000005</v>
      </c>
      <c r="E47" s="13">
        <f>'Expend - Overall'!E47</f>
        <v>2858.26</v>
      </c>
      <c r="F47" s="13">
        <f>'Expend - Overall'!F47</f>
        <v>373.44</v>
      </c>
      <c r="G47" s="13">
        <f>'Expend - Overall'!G47</f>
        <v>0</v>
      </c>
      <c r="H47" s="13">
        <f>'Expend - Overall'!H47</f>
        <v>0</v>
      </c>
      <c r="I47" s="13">
        <f>'Expend - Overall'!I47</f>
        <v>0</v>
      </c>
      <c r="J47" s="13">
        <f>'Expend - Overall'!J47</f>
        <v>0</v>
      </c>
      <c r="N47" s="13">
        <f t="shared" si="12"/>
        <v>2201.69</v>
      </c>
      <c r="O47" s="13"/>
      <c r="P47" s="13">
        <f t="shared" si="2"/>
        <v>2201.69</v>
      </c>
      <c r="Q47" s="13"/>
      <c r="R47" s="13"/>
      <c r="S47" s="13"/>
      <c r="T47" s="13"/>
      <c r="U47" s="13"/>
      <c r="V47" s="13"/>
      <c r="W47" s="13">
        <f t="shared" ref="W47:W52" si="16">SUM(P47:V47)</f>
        <v>2201.69</v>
      </c>
      <c r="Y47" s="13">
        <f>SUMIF('Expend - OverallBUD'!$C$2:$N$2,'Expend - Forecast'!$Y$2,'Expend - OverallBUD'!$C46:$N46)</f>
        <v>0</v>
      </c>
      <c r="Z47" s="13">
        <f>Y47-N47</f>
        <v>-2201.69</v>
      </c>
      <c r="AB47" s="13">
        <f>SUMIF('Expend - OverallPY'!$B$2:$M$2,'Expend - Forecast'!$AB$2,'Expend - OverallPY'!$B47:$M47)</f>
        <v>3297.2799999999997</v>
      </c>
      <c r="AC47" s="13">
        <f t="shared" ref="AC47:AC52" si="17">AB47-N47</f>
        <v>1095.5899999999997</v>
      </c>
      <c r="AD47" s="124">
        <f t="shared" ref="AD47:AD52" si="18">IF(ISERROR((AB47/N47)-1),"-",(AB47/N47)-1)</f>
        <v>0.49761319713492802</v>
      </c>
    </row>
    <row r="48" spans="1:30">
      <c r="A48" s="15" t="s">
        <v>122</v>
      </c>
      <c r="B48" s="13" t="e">
        <f>SUM(B49:B52)</f>
        <v>#REF!</v>
      </c>
      <c r="C48" s="13" t="e">
        <f t="shared" ref="C48:O48" si="19">SUM(C49:C52)</f>
        <v>#REF!</v>
      </c>
      <c r="D48" s="13" t="e">
        <f t="shared" si="19"/>
        <v>#REF!</v>
      </c>
      <c r="E48" s="13" t="e">
        <f t="shared" si="19"/>
        <v>#REF!</v>
      </c>
      <c r="F48" s="13" t="e">
        <f t="shared" si="19"/>
        <v>#REF!</v>
      </c>
      <c r="G48" s="13" t="e">
        <f t="shared" si="19"/>
        <v>#REF!</v>
      </c>
      <c r="H48" s="13" t="e">
        <f t="shared" si="19"/>
        <v>#REF!</v>
      </c>
      <c r="I48" s="13" t="e">
        <f t="shared" si="19"/>
        <v>#REF!</v>
      </c>
      <c r="J48" s="13" t="e">
        <f t="shared" si="19"/>
        <v>#REF!</v>
      </c>
      <c r="K48" s="13">
        <f t="shared" si="19"/>
        <v>0</v>
      </c>
      <c r="L48" s="13">
        <f t="shared" si="19"/>
        <v>0</v>
      </c>
      <c r="M48" s="13">
        <f t="shared" si="19"/>
        <v>0</v>
      </c>
      <c r="N48" s="13" t="e">
        <f t="shared" si="12"/>
        <v>#REF!</v>
      </c>
      <c r="O48" s="13">
        <f t="shared" si="19"/>
        <v>0</v>
      </c>
      <c r="P48" s="13" t="e">
        <f t="shared" si="2"/>
        <v>#REF!</v>
      </c>
      <c r="Q48" s="13"/>
      <c r="R48" s="13"/>
      <c r="S48" s="13"/>
      <c r="T48" s="13"/>
      <c r="U48" s="13"/>
      <c r="V48" s="13"/>
      <c r="W48" s="13" t="e">
        <f t="shared" si="16"/>
        <v>#REF!</v>
      </c>
      <c r="Y48" s="13" t="e">
        <f>SUM(Y49:Y52)</f>
        <v>#REF!</v>
      </c>
      <c r="Z48" s="13" t="e">
        <f>SUM(Z49:Z52)</f>
        <v>#REF!</v>
      </c>
      <c r="AB48" s="13" t="e">
        <f>SUM(AB49:AB52)</f>
        <v>#REF!</v>
      </c>
      <c r="AC48" s="13" t="e">
        <f t="shared" si="17"/>
        <v>#REF!</v>
      </c>
      <c r="AD48" s="124" t="str">
        <f t="shared" si="18"/>
        <v>-</v>
      </c>
    </row>
    <row r="49" spans="1:30" s="19" customFormat="1">
      <c r="A49" s="20" t="s">
        <v>123</v>
      </c>
      <c r="B49" s="32">
        <f>'Expend - Overall'!B49</f>
        <v>0</v>
      </c>
      <c r="C49" s="32">
        <f>'Expend - Overall'!C49</f>
        <v>0</v>
      </c>
      <c r="D49" s="32">
        <f>'Expend - Overall'!D49</f>
        <v>0</v>
      </c>
      <c r="E49" s="32">
        <f>'Expend - Overall'!E49</f>
        <v>0</v>
      </c>
      <c r="F49" s="32">
        <f>'Expend - Overall'!F49</f>
        <v>0</v>
      </c>
      <c r="G49" s="32">
        <f>'Expend - Overall'!G49</f>
        <v>0</v>
      </c>
      <c r="H49" s="32">
        <f>'Expend - Overall'!H49</f>
        <v>0</v>
      </c>
      <c r="I49" s="32">
        <f>'Expend - Overall'!I49</f>
        <v>0</v>
      </c>
      <c r="J49" s="32">
        <f>'Expend - Overall'!J49</f>
        <v>0</v>
      </c>
      <c r="K49" s="32"/>
      <c r="L49" s="32"/>
      <c r="M49" s="32"/>
      <c r="N49" s="33">
        <f t="shared" si="12"/>
        <v>0</v>
      </c>
      <c r="O49" s="36"/>
      <c r="P49" s="13">
        <f t="shared" si="2"/>
        <v>0</v>
      </c>
      <c r="Q49" s="13"/>
      <c r="R49" s="13"/>
      <c r="S49" s="13"/>
      <c r="T49" s="13"/>
      <c r="U49" s="13"/>
      <c r="V49" s="13"/>
      <c r="W49" s="13">
        <f t="shared" si="16"/>
        <v>0</v>
      </c>
      <c r="Y49" s="127">
        <f>SUMIF('Expend - OverallBUD'!$C$2:$N$2,'Expend - Forecast'!$Y$2,'Expend - OverallBUD'!$C49:$N49)</f>
        <v>360</v>
      </c>
      <c r="Z49" s="33">
        <f>Y49-N49</f>
        <v>360</v>
      </c>
      <c r="AB49" s="127">
        <f>SUMIF('Expend - OverallPY'!$B$2:$M$2,'Expend - Forecast'!$AB$2,'Expend - OverallPY'!$B49:$M49)</f>
        <v>246</v>
      </c>
      <c r="AC49" s="32">
        <f t="shared" si="17"/>
        <v>246</v>
      </c>
      <c r="AD49" s="128" t="str">
        <f t="shared" si="18"/>
        <v>-</v>
      </c>
    </row>
    <row r="50" spans="1:30" s="19" customFormat="1">
      <c r="A50" s="24" t="s">
        <v>124</v>
      </c>
      <c r="B50" s="36">
        <f>'Expend - Overall'!B50</f>
        <v>0</v>
      </c>
      <c r="C50" s="36">
        <f>'Expend - Overall'!C50</f>
        <v>0</v>
      </c>
      <c r="D50" s="36">
        <f>'Expend - Overall'!D50</f>
        <v>738.4</v>
      </c>
      <c r="E50" s="36">
        <f>'Expend - Overall'!E50</f>
        <v>0</v>
      </c>
      <c r="F50" s="36">
        <f>'Expend - Overall'!F50</f>
        <v>0</v>
      </c>
      <c r="G50" s="36">
        <f>'Expend - Overall'!G50</f>
        <v>0</v>
      </c>
      <c r="H50" s="36">
        <f>'Expend - Overall'!H50</f>
        <v>0</v>
      </c>
      <c r="I50" s="36">
        <f>'Expend - Overall'!I50</f>
        <v>0</v>
      </c>
      <c r="J50" s="36">
        <f>'Expend - Overall'!J50</f>
        <v>0</v>
      </c>
      <c r="K50" s="36"/>
      <c r="L50" s="36"/>
      <c r="M50" s="36"/>
      <c r="N50" s="37">
        <f t="shared" si="12"/>
        <v>738.4</v>
      </c>
      <c r="O50" s="36"/>
      <c r="P50" s="13">
        <f t="shared" si="2"/>
        <v>738.4</v>
      </c>
      <c r="Q50" s="13"/>
      <c r="R50" s="13"/>
      <c r="S50" s="13"/>
      <c r="T50" s="13"/>
      <c r="U50" s="13"/>
      <c r="V50" s="13"/>
      <c r="W50" s="13">
        <f t="shared" si="16"/>
        <v>738.4</v>
      </c>
      <c r="Y50" s="131">
        <f>SUMIF('Expend - OverallBUD'!$C$2:$N$2,'Expend - Forecast'!$Y$2,'Expend - OverallBUD'!$C50:$N50)</f>
        <v>1800</v>
      </c>
      <c r="Z50" s="37">
        <f>Y50-N50</f>
        <v>1061.5999999999999</v>
      </c>
      <c r="AB50" s="131">
        <f>SUMIF('Expend - OverallPY'!$B$2:$M$2,'Expend - Forecast'!$AB$2,'Expend - OverallPY'!$B50:$M50)</f>
        <v>1489.94</v>
      </c>
      <c r="AC50" s="36">
        <f t="shared" si="17"/>
        <v>751.54000000000008</v>
      </c>
      <c r="AD50" s="132">
        <f t="shared" si="18"/>
        <v>1.017795232936078</v>
      </c>
    </row>
    <row r="51" spans="1:30" s="19" customFormat="1">
      <c r="A51" s="24" t="s">
        <v>386</v>
      </c>
      <c r="B51" s="36" t="e">
        <f>'Expend - Overall'!#REF!</f>
        <v>#REF!</v>
      </c>
      <c r="C51" s="36" t="e">
        <f>'Expend - Overall'!#REF!</f>
        <v>#REF!</v>
      </c>
      <c r="D51" s="36" t="e">
        <f>'Expend - Overall'!#REF!</f>
        <v>#REF!</v>
      </c>
      <c r="E51" s="36" t="e">
        <f>'Expend - Overall'!#REF!</f>
        <v>#REF!</v>
      </c>
      <c r="F51" s="36" t="e">
        <f>'Expend - Overall'!#REF!</f>
        <v>#REF!</v>
      </c>
      <c r="G51" s="36" t="e">
        <f>'Expend - Overall'!#REF!</f>
        <v>#REF!</v>
      </c>
      <c r="H51" s="36" t="e">
        <f>'Expend - Overall'!#REF!</f>
        <v>#REF!</v>
      </c>
      <c r="I51" s="36" t="e">
        <f>'Expend - Overall'!#REF!</f>
        <v>#REF!</v>
      </c>
      <c r="J51" s="36" t="e">
        <f>'Expend - Overall'!#REF!</f>
        <v>#REF!</v>
      </c>
      <c r="K51" s="36"/>
      <c r="L51" s="36"/>
      <c r="M51" s="36"/>
      <c r="N51" s="37" t="e">
        <f>SUM(B51:M51)</f>
        <v>#REF!</v>
      </c>
      <c r="O51" s="36"/>
      <c r="P51" s="13" t="e">
        <f t="shared" si="2"/>
        <v>#REF!</v>
      </c>
      <c r="Q51" s="13"/>
      <c r="R51" s="13"/>
      <c r="S51" s="13"/>
      <c r="T51" s="13"/>
      <c r="U51" s="13"/>
      <c r="V51" s="13"/>
      <c r="W51" s="13" t="e">
        <f t="shared" si="16"/>
        <v>#REF!</v>
      </c>
      <c r="Y51" s="131" t="e">
        <f>SUMIF('Expend - OverallBUD'!$C$2:$N$2,'Expend - Forecast'!$Y$2,'Expend - OverallBUD'!#REF!)</f>
        <v>#REF!</v>
      </c>
      <c r="Z51" s="37" t="e">
        <f>Y51-N51</f>
        <v>#REF!</v>
      </c>
      <c r="AB51" s="131" t="e">
        <f>SUMIF('Expend - OverallPY'!$B$2:$M$2,'Expend - Forecast'!$AB$2,'Expend - OverallPY'!#REF!)</f>
        <v>#REF!</v>
      </c>
      <c r="AC51" s="36" t="e">
        <f t="shared" si="17"/>
        <v>#REF!</v>
      </c>
      <c r="AD51" s="132" t="str">
        <f t="shared" si="18"/>
        <v>-</v>
      </c>
    </row>
    <row r="52" spans="1:30" s="19" customFormat="1">
      <c r="A52" s="22" t="s">
        <v>125</v>
      </c>
      <c r="B52" s="34">
        <f>'Expend - Overall'!B51</f>
        <v>683.49</v>
      </c>
      <c r="C52" s="34">
        <f>'Expend - Overall'!C51</f>
        <v>190.38</v>
      </c>
      <c r="D52" s="34">
        <f>'Expend - Overall'!D51</f>
        <v>12.5</v>
      </c>
      <c r="E52" s="34">
        <f>'Expend - Overall'!E51</f>
        <v>12.5</v>
      </c>
      <c r="F52" s="34">
        <f>'Expend - Overall'!F51</f>
        <v>12.5</v>
      </c>
      <c r="G52" s="34">
        <f>'Expend - Overall'!G51</f>
        <v>0</v>
      </c>
      <c r="H52" s="34">
        <f>'Expend - Overall'!H51</f>
        <v>0</v>
      </c>
      <c r="I52" s="34">
        <f>'Expend - Overall'!I51</f>
        <v>0</v>
      </c>
      <c r="J52" s="34">
        <f>'Expend - Overall'!J51</f>
        <v>0</v>
      </c>
      <c r="K52" s="34"/>
      <c r="L52" s="34"/>
      <c r="M52" s="34"/>
      <c r="N52" s="35">
        <f t="shared" si="12"/>
        <v>911.37</v>
      </c>
      <c r="O52" s="36"/>
      <c r="P52" s="13">
        <f t="shared" si="2"/>
        <v>911.37</v>
      </c>
      <c r="Q52" s="13"/>
      <c r="R52" s="13"/>
      <c r="S52" s="13"/>
      <c r="T52" s="13"/>
      <c r="U52" s="13"/>
      <c r="V52" s="13"/>
      <c r="W52" s="13">
        <f t="shared" si="16"/>
        <v>911.37</v>
      </c>
      <c r="Y52" s="129">
        <f>SUMIF('Expend - OverallBUD'!$C$2:$N$2,'Expend - Forecast'!$Y$2,'Expend - OverallBUD'!$C51:$N51)</f>
        <v>2400</v>
      </c>
      <c r="Z52" s="35">
        <f>Y52-N52</f>
        <v>1488.63</v>
      </c>
      <c r="AB52" s="129">
        <f>SUMIF('Expend - OverallPY'!$B$2:$M$2,'Expend - Forecast'!$AB$2,'Expend - OverallPY'!$B51:$M51)</f>
        <v>7054.2300000000005</v>
      </c>
      <c r="AC52" s="34">
        <f t="shared" si="17"/>
        <v>6142.8600000000006</v>
      </c>
      <c r="AD52" s="130">
        <f t="shared" si="18"/>
        <v>6.7402481977681958</v>
      </c>
    </row>
    <row r="53" spans="1:30" s="19" customFormat="1" ht="7.5" customHeight="1">
      <c r="A53" s="38"/>
      <c r="B53" s="36"/>
      <c r="C53" s="36"/>
      <c r="D53" s="36"/>
      <c r="E53" s="36"/>
      <c r="F53" s="36"/>
      <c r="G53" s="36"/>
      <c r="H53" s="36"/>
      <c r="I53" s="36"/>
      <c r="J53" s="36"/>
      <c r="K53" s="36"/>
      <c r="L53" s="36"/>
      <c r="M53" s="36"/>
      <c r="N53" s="36"/>
      <c r="O53" s="36"/>
      <c r="P53" s="13"/>
      <c r="Q53" s="13"/>
      <c r="R53" s="13"/>
      <c r="S53" s="13"/>
      <c r="T53" s="13"/>
      <c r="U53" s="13"/>
      <c r="V53" s="13"/>
      <c r="W53" s="13"/>
      <c r="Y53" s="36"/>
      <c r="Z53" s="36"/>
      <c r="AB53" s="36"/>
    </row>
    <row r="54" spans="1:30">
      <c r="A54" s="15" t="s">
        <v>126</v>
      </c>
      <c r="B54" s="13" t="e">
        <f>SUM(B55:B59)</f>
        <v>#REF!</v>
      </c>
      <c r="C54" s="13">
        <f t="shared" ref="C54:O54" si="20">SUM(C55:C59)</f>
        <v>3490.71</v>
      </c>
      <c r="D54" s="13">
        <f t="shared" si="20"/>
        <v>742.2</v>
      </c>
      <c r="E54" s="13">
        <f t="shared" si="20"/>
        <v>737.33999999999992</v>
      </c>
      <c r="F54" s="13">
        <f t="shared" si="20"/>
        <v>1307.47</v>
      </c>
      <c r="G54" s="13">
        <f t="shared" si="20"/>
        <v>0</v>
      </c>
      <c r="H54" s="13">
        <f t="shared" si="20"/>
        <v>0</v>
      </c>
      <c r="I54" s="13">
        <f t="shared" si="20"/>
        <v>0</v>
      </c>
      <c r="J54" s="13">
        <f t="shared" si="20"/>
        <v>0</v>
      </c>
      <c r="K54" s="13">
        <f t="shared" si="20"/>
        <v>0</v>
      </c>
      <c r="L54" s="13">
        <f t="shared" si="20"/>
        <v>0</v>
      </c>
      <c r="M54" s="13">
        <f t="shared" si="20"/>
        <v>0</v>
      </c>
      <c r="N54" s="13" t="e">
        <f t="shared" si="12"/>
        <v>#REF!</v>
      </c>
      <c r="O54" s="13">
        <f t="shared" si="20"/>
        <v>0</v>
      </c>
      <c r="P54" s="13" t="e">
        <f t="shared" si="2"/>
        <v>#REF!</v>
      </c>
      <c r="Q54" s="13">
        <f t="shared" ref="Q54:V54" si="21">SUM(Q55:Q59)</f>
        <v>0</v>
      </c>
      <c r="R54" s="13">
        <f t="shared" si="21"/>
        <v>0</v>
      </c>
      <c r="S54" s="13">
        <f t="shared" si="21"/>
        <v>0</v>
      </c>
      <c r="T54" s="13">
        <f t="shared" si="21"/>
        <v>0</v>
      </c>
      <c r="U54" s="13">
        <f t="shared" si="21"/>
        <v>0</v>
      </c>
      <c r="V54" s="13">
        <f t="shared" si="21"/>
        <v>0</v>
      </c>
      <c r="W54" s="13" t="e">
        <f t="shared" ref="W54:W59" si="22">SUM(P54:V54)</f>
        <v>#REF!</v>
      </c>
      <c r="Y54" s="13">
        <f>SUM(Y55:Y59)</f>
        <v>13886.25</v>
      </c>
      <c r="Z54" s="13" t="e">
        <f>SUM(Z55:Z59)</f>
        <v>#REF!</v>
      </c>
      <c r="AB54" s="13">
        <f>SUM(AB55:AB59)</f>
        <v>10563.169999999998</v>
      </c>
      <c r="AC54" s="13" t="e">
        <f t="shared" ref="AC54:AC59" si="23">AB54-N54</f>
        <v>#REF!</v>
      </c>
      <c r="AD54" s="124" t="str">
        <f t="shared" ref="AD54:AD59" si="24">IF(ISERROR((AB54/N54)-1),"-",(AB54/N54)-1)</f>
        <v>-</v>
      </c>
    </row>
    <row r="55" spans="1:30" s="19" customFormat="1">
      <c r="A55" s="20" t="s">
        <v>127</v>
      </c>
      <c r="B55" s="32">
        <f>'Expend - Overall'!B54</f>
        <v>0</v>
      </c>
      <c r="C55" s="32">
        <f>'Expend - Overall'!C54</f>
        <v>0</v>
      </c>
      <c r="D55" s="32">
        <f>'Expend - Overall'!D54</f>
        <v>0</v>
      </c>
      <c r="E55" s="32">
        <f>'Expend - Overall'!E54</f>
        <v>0</v>
      </c>
      <c r="F55" s="32">
        <f>'Expend - Overall'!F54</f>
        <v>0</v>
      </c>
      <c r="G55" s="32">
        <f>'Expend - Overall'!G54</f>
        <v>0</v>
      </c>
      <c r="H55" s="32">
        <f>'Expend - Overall'!H54</f>
        <v>0</v>
      </c>
      <c r="I55" s="32">
        <f>'Expend - Overall'!I54</f>
        <v>0</v>
      </c>
      <c r="J55" s="32">
        <f>'Expend - Overall'!J54</f>
        <v>0</v>
      </c>
      <c r="K55" s="32"/>
      <c r="L55" s="32"/>
      <c r="M55" s="32"/>
      <c r="N55" s="33">
        <f t="shared" si="12"/>
        <v>0</v>
      </c>
      <c r="O55" s="36"/>
      <c r="P55" s="36">
        <f t="shared" si="2"/>
        <v>0</v>
      </c>
      <c r="Q55" s="36"/>
      <c r="R55" s="36"/>
      <c r="S55" s="36"/>
      <c r="T55" s="36"/>
      <c r="U55" s="36"/>
      <c r="V55" s="36"/>
      <c r="W55" s="36">
        <f t="shared" si="22"/>
        <v>0</v>
      </c>
      <c r="Y55" s="127">
        <f>SUMIF('Expend - OverallBUD'!$C$2:$N$2,'Expend - Forecast'!$Y$2,'Expend - OverallBUD'!$C54:$N54)</f>
        <v>0</v>
      </c>
      <c r="Z55" s="33">
        <f>Y55-N55</f>
        <v>0</v>
      </c>
      <c r="AB55" s="127">
        <f>SUMIF('Expend - OverallPY'!$B$2:$M$2,'Expend - Forecast'!$AB$2,'Expend - OverallPY'!$B54:$M54)</f>
        <v>600</v>
      </c>
      <c r="AC55" s="32">
        <f t="shared" si="23"/>
        <v>600</v>
      </c>
      <c r="AD55" s="128" t="str">
        <f t="shared" si="24"/>
        <v>-</v>
      </c>
    </row>
    <row r="56" spans="1:30" s="19" customFormat="1">
      <c r="A56" s="24" t="s">
        <v>128</v>
      </c>
      <c r="B56" s="36">
        <f>'Expend - Overall'!B55</f>
        <v>218.29</v>
      </c>
      <c r="C56" s="36">
        <f>'Expend - Overall'!C55</f>
        <v>210.88</v>
      </c>
      <c r="D56" s="36">
        <f>'Expend - Overall'!D55</f>
        <v>79.599999999999994</v>
      </c>
      <c r="E56" s="36">
        <f>'Expend - Overall'!E55</f>
        <v>203.95</v>
      </c>
      <c r="F56" s="36">
        <f>'Expend - Overall'!F55</f>
        <v>747.47</v>
      </c>
      <c r="G56" s="36">
        <f>'Expend - Overall'!G55</f>
        <v>0</v>
      </c>
      <c r="H56" s="36">
        <f>'Expend - Overall'!H55</f>
        <v>0</v>
      </c>
      <c r="I56" s="36">
        <f>'Expend - Overall'!I55</f>
        <v>0</v>
      </c>
      <c r="J56" s="36">
        <f>'Expend - Overall'!J55</f>
        <v>0</v>
      </c>
      <c r="K56" s="36"/>
      <c r="L56" s="36"/>
      <c r="M56" s="36"/>
      <c r="N56" s="37">
        <f t="shared" si="12"/>
        <v>1460.19</v>
      </c>
      <c r="O56" s="36"/>
      <c r="P56" s="36">
        <f t="shared" si="2"/>
        <v>1460.19</v>
      </c>
      <c r="Q56" s="36"/>
      <c r="R56" s="36"/>
      <c r="S56" s="36"/>
      <c r="T56" s="36"/>
      <c r="U56" s="36"/>
      <c r="V56" s="36"/>
      <c r="W56" s="36">
        <f t="shared" si="22"/>
        <v>1460.19</v>
      </c>
      <c r="Y56" s="131">
        <f>SUMIF('Expend - OverallBUD'!$C$2:$N$2,'Expend - Forecast'!$Y$2,'Expend - OverallBUD'!$C55:$N55)</f>
        <v>2400</v>
      </c>
      <c r="Z56" s="37">
        <f>Y56-N56</f>
        <v>939.81</v>
      </c>
      <c r="AB56" s="131">
        <f>SUMIF('Expend - OverallPY'!$B$2:$M$2,'Expend - Forecast'!$AB$2,'Expend - OverallPY'!$B55:$M55)</f>
        <v>2482.73</v>
      </c>
      <c r="AC56" s="36">
        <f t="shared" si="23"/>
        <v>1022.54</v>
      </c>
      <c r="AD56" s="132">
        <f t="shared" si="24"/>
        <v>0.70027873085009484</v>
      </c>
    </row>
    <row r="57" spans="1:30" s="19" customFormat="1">
      <c r="A57" s="24" t="s">
        <v>129</v>
      </c>
      <c r="B57" s="36">
        <f>'Expend - Overall'!B56</f>
        <v>1330.25</v>
      </c>
      <c r="C57" s="36">
        <f>'Expend - Overall'!C56</f>
        <v>3032</v>
      </c>
      <c r="D57" s="36">
        <f>'Expend - Overall'!D56</f>
        <v>523</v>
      </c>
      <c r="E57" s="36">
        <f>'Expend - Overall'!E56</f>
        <v>120</v>
      </c>
      <c r="F57" s="36">
        <f>'Expend - Overall'!F56</f>
        <v>560</v>
      </c>
      <c r="G57" s="36">
        <f>'Expend - Overall'!G56</f>
        <v>0</v>
      </c>
      <c r="H57" s="36">
        <f>'Expend - Overall'!H56</f>
        <v>0</v>
      </c>
      <c r="I57" s="36">
        <f>'Expend - Overall'!I56</f>
        <v>0</v>
      </c>
      <c r="J57" s="36">
        <f>'Expend - Overall'!J56</f>
        <v>0</v>
      </c>
      <c r="K57" s="36"/>
      <c r="L57" s="36"/>
      <c r="M57" s="36"/>
      <c r="N57" s="37">
        <f t="shared" si="12"/>
        <v>5565.25</v>
      </c>
      <c r="O57" s="36"/>
      <c r="P57" s="36">
        <f t="shared" si="2"/>
        <v>5565.25</v>
      </c>
      <c r="Q57" s="36"/>
      <c r="R57" s="36"/>
      <c r="S57" s="36"/>
      <c r="T57" s="36"/>
      <c r="U57" s="36"/>
      <c r="V57" s="36"/>
      <c r="W57" s="36">
        <f t="shared" si="22"/>
        <v>5565.25</v>
      </c>
      <c r="Y57" s="131">
        <f>SUMIF('Expend - OverallBUD'!$C$2:$N$2,'Expend - Forecast'!$Y$2,'Expend - OverallBUD'!$C56:$N56)</f>
        <v>7886.25</v>
      </c>
      <c r="Z57" s="37">
        <f>Y57-N57</f>
        <v>2321</v>
      </c>
      <c r="AB57" s="131">
        <f>SUMIF('Expend - OverallPY'!$B$2:$M$2,'Expend - Forecast'!$AB$2,'Expend - OverallPY'!$B56:$M56)</f>
        <v>4621.869999999999</v>
      </c>
      <c r="AC57" s="36">
        <f t="shared" si="23"/>
        <v>-943.38000000000102</v>
      </c>
      <c r="AD57" s="132">
        <f t="shared" si="24"/>
        <v>-0.16951260051210659</v>
      </c>
    </row>
    <row r="58" spans="1:30" s="19" customFormat="1">
      <c r="A58" s="24" t="s">
        <v>81</v>
      </c>
      <c r="B58" s="36">
        <f>'Expend - Overall'!B57</f>
        <v>0</v>
      </c>
      <c r="C58" s="36">
        <f>'Expend - Overall'!C57</f>
        <v>0</v>
      </c>
      <c r="D58" s="36">
        <f>'Expend - Overall'!D57</f>
        <v>0</v>
      </c>
      <c r="E58" s="36">
        <f>'Expend - Overall'!E57</f>
        <v>0</v>
      </c>
      <c r="F58" s="36">
        <f>'Expend - Overall'!F57</f>
        <v>0</v>
      </c>
      <c r="G58" s="36">
        <f>'Expend - Overall'!G57</f>
        <v>0</v>
      </c>
      <c r="H58" s="36">
        <f>'Expend - Overall'!H57</f>
        <v>0</v>
      </c>
      <c r="I58" s="36">
        <f>'Expend - Overall'!I57</f>
        <v>0</v>
      </c>
      <c r="J58" s="36">
        <f>'Expend - Overall'!J57</f>
        <v>0</v>
      </c>
      <c r="K58" s="36"/>
      <c r="L58" s="36"/>
      <c r="M58" s="36"/>
      <c r="N58" s="37">
        <f t="shared" si="12"/>
        <v>0</v>
      </c>
      <c r="O58" s="36"/>
      <c r="P58" s="36">
        <f t="shared" si="2"/>
        <v>0</v>
      </c>
      <c r="Q58" s="36"/>
      <c r="R58" s="36"/>
      <c r="S58" s="36"/>
      <c r="T58" s="36"/>
      <c r="U58" s="36"/>
      <c r="V58" s="36"/>
      <c r="W58" s="36">
        <f t="shared" si="22"/>
        <v>0</v>
      </c>
      <c r="Y58" s="131">
        <f>SUMIF('Expend - OverallBUD'!$C$2:$N$2,'Expend - Forecast'!$Y$2,'Expend - OverallBUD'!$C57:$N57)</f>
        <v>0</v>
      </c>
      <c r="Z58" s="37">
        <f>Y58-N58</f>
        <v>0</v>
      </c>
      <c r="AB58" s="131">
        <f>SUMIF('Expend - OverallPY'!$B$2:$M$2,'Expend - Forecast'!$AB$2,'Expend - OverallPY'!$B57:$M57)</f>
        <v>0</v>
      </c>
      <c r="AC58" s="36">
        <f t="shared" si="23"/>
        <v>0</v>
      </c>
      <c r="AD58" s="132" t="str">
        <f t="shared" si="24"/>
        <v>-</v>
      </c>
    </row>
    <row r="59" spans="1:30" s="19" customFormat="1">
      <c r="A59" s="22" t="s">
        <v>200</v>
      </c>
      <c r="B59" s="34" t="e">
        <f>'Expend - General'!#REF!+'Expend - General'!C59+'Expend - FlowerFund'!C60+'Expend - SSchoolFund'!C60+'Expend - ReithMemorial'!C60+'Expend - SfSFund'!C60+'Expend - Guild'!C60+'Expend - Organ'!C60+'Expend - JrChurch'!C60+'Expend - Benevolent'!C60</f>
        <v>#REF!</v>
      </c>
      <c r="C59" s="34">
        <f>'Expend - General'!D59+'Expend - Fabric'!D59+'Expend - FlowerFund'!D60+'Expend - SSchoolFund'!D60+'Expend - ReithMemorial'!D60+'Expend - SfSFund'!D60+'Expend - Guild'!D60+'Expend - Organ'!D60+'Expend - JrChurch'!D60+'Expend - Benevolent'!D60</f>
        <v>247.83</v>
      </c>
      <c r="D59" s="34">
        <f>'Expend - General'!E59+'Expend - Fabric'!E59+'Expend - FlowerFund'!E60+'Expend - SSchoolFund'!E60+'Expend - ReithMemorial'!E60+'Expend - SfSFund'!E60+'Expend - Guild'!E60+'Expend - Organ'!E60+'Expend - JrChurch'!E60+'Expend - Benevolent'!E60</f>
        <v>139.6</v>
      </c>
      <c r="E59" s="34">
        <f>'Expend - General'!F59+'Expend - Fabric'!F59+'Expend - FlowerFund'!F60+'Expend - SSchoolFund'!F60+'Expend - ReithMemorial'!F60+'Expend - SfSFund'!F60+'Expend - Guild'!F60+'Expend - Organ'!F60+'Expend - JrChurch'!F60+'Expend - Benevolent'!F60</f>
        <v>413.39</v>
      </c>
      <c r="F59" s="34">
        <f>'Expend - General'!G59+'Expend - Fabric'!G59+'Expend - FlowerFund'!G60+'Expend - SSchoolFund'!G60+'Expend - ReithMemorial'!G60+'Expend - SfSFund'!G60+'Expend - Guild'!G60+'Expend - Organ'!G60+'Expend - JrChurch'!G60+'Expend - Benevolent'!G60</f>
        <v>0</v>
      </c>
      <c r="G59" s="34">
        <f>'Expend - General'!H59+'Expend - Fabric'!H59+'Expend - FlowerFund'!H60+'Expend - SSchoolFund'!H60+'Expend - ReithMemorial'!H60+'Expend - SfSFund'!H60+'Expend - Guild'!H60+'Expend - Organ'!H60+'Expend - JrChurch'!H60+'Expend - Benevolent'!H60</f>
        <v>0</v>
      </c>
      <c r="H59" s="34">
        <f>'Expend - General'!I59+'Expend - Fabric'!I59+'Expend - FlowerFund'!I60+'Expend - SSchoolFund'!I60+'Expend - ReithMemorial'!I60+'Expend - SfSFund'!I60+'Expend - Guild'!I60+'Expend - Organ'!I60+'Expend - JrChurch'!I60+'Expend - Benevolent'!I60</f>
        <v>0</v>
      </c>
      <c r="I59" s="34">
        <f>'Expend - General'!J59+'Expend - Fabric'!J59+'Expend - FlowerFund'!J60+'Expend - SSchoolFund'!J60+'Expend - ReithMemorial'!J60+'Expend - SfSFund'!J60+'Expend - Guild'!J60+'Expend - Organ'!J60+'Expend - JrChurch'!J60+'Expend - Benevolent'!J60</f>
        <v>0</v>
      </c>
      <c r="J59" s="34">
        <f>'Expend - General'!K59+'Expend - Fabric'!K59+'Expend - FlowerFund'!K60+'Expend - SSchoolFund'!K60+'Expend - ReithMemorial'!K60+'Expend - SfSFund'!K60+'Expend - Guild'!K60+'Expend - Organ'!K60+'Expend - JrChurch'!K60+'Expend - Benevolent'!K60</f>
        <v>0</v>
      </c>
      <c r="K59" s="34">
        <f>'Expend - General'!L59+'Expend - Fabric'!L59+'Expend - FlowerFund'!L60+'Expend - SSchoolFund'!L60+'Expend - ReithMemorial'!L60+'Expend - SfSFund'!L60+'Expend - Guild'!L60+'Expend - Organ'!L60+'Expend - JrChurch'!L60+'Expend - Benevolent'!L60</f>
        <v>0</v>
      </c>
      <c r="L59" s="34">
        <f>'Expend - General'!M59+'Expend - Fabric'!M59+'Expend - FlowerFund'!M60+'Expend - SSchoolFund'!M60+'Expend - ReithMemorial'!M60+'Expend - SfSFund'!M60+'Expend - Guild'!M60+'Expend - Organ'!M60+'Expend - JrChurch'!M60+'Expend - Benevolent'!M60</f>
        <v>0</v>
      </c>
      <c r="M59" s="34">
        <f>'Expend - General'!N59+'Expend - Fabric'!N59+'Expend - FlowerFund'!N60+'Expend - SSchoolFund'!N60+'Expend - ReithMemorial'!N60+'Expend - SfSFund'!N60+'Expend - Guild'!N60+'Expend - Organ'!N60+'Expend - JrChurch'!N60+'Expend - Benevolent'!N60</f>
        <v>0</v>
      </c>
      <c r="N59" s="35" t="e">
        <f t="shared" si="12"/>
        <v>#REF!</v>
      </c>
      <c r="O59" s="36"/>
      <c r="P59" s="36" t="e">
        <f t="shared" si="2"/>
        <v>#REF!</v>
      </c>
      <c r="Q59" s="36"/>
      <c r="R59" s="36"/>
      <c r="S59" s="36"/>
      <c r="T59" s="36"/>
      <c r="U59" s="36"/>
      <c r="V59" s="36"/>
      <c r="W59" s="36" t="e">
        <f t="shared" si="22"/>
        <v>#REF!</v>
      </c>
      <c r="Y59" s="129">
        <f>SUMIF('Expend - OverallBUD'!$C$2:$N$2,'Expend - Forecast'!$Y$2,'Expend - OverallBUD'!$C58:$N58)</f>
        <v>3600</v>
      </c>
      <c r="Z59" s="35" t="e">
        <f>Y59-N59</f>
        <v>#REF!</v>
      </c>
      <c r="AB59" s="129">
        <f>SUMIF('Expend - OverallPY'!$B$2:$M$2,'Expend - Forecast'!$AB$2,'Expend - OverallPY'!$B58:$M58)</f>
        <v>2858.57</v>
      </c>
      <c r="AC59" s="34" t="e">
        <f t="shared" si="23"/>
        <v>#REF!</v>
      </c>
      <c r="AD59" s="130" t="str">
        <f t="shared" si="24"/>
        <v>-</v>
      </c>
    </row>
    <row r="60" spans="1:30" s="19" customFormat="1">
      <c r="A60" s="38"/>
      <c r="B60" s="36"/>
      <c r="C60" s="36"/>
      <c r="D60" s="36"/>
      <c r="E60" s="36"/>
      <c r="F60" s="36"/>
      <c r="G60" s="36"/>
      <c r="H60" s="36"/>
      <c r="I60" s="36"/>
      <c r="J60" s="36"/>
      <c r="K60" s="36"/>
      <c r="L60" s="36"/>
      <c r="M60" s="36"/>
      <c r="N60" s="36"/>
      <c r="O60" s="36"/>
      <c r="P60" s="36"/>
      <c r="Q60" s="36"/>
      <c r="R60" s="36"/>
      <c r="S60" s="36"/>
      <c r="T60" s="36"/>
      <c r="U60" s="36"/>
      <c r="V60" s="36"/>
      <c r="W60" s="36"/>
      <c r="Y60" s="36"/>
      <c r="Z60" s="36"/>
      <c r="AB60" s="36"/>
    </row>
    <row r="61" spans="1:30" s="19" customFormat="1" ht="14.65" thickBot="1">
      <c r="A61" s="7" t="s">
        <v>131</v>
      </c>
      <c r="B61" s="28" t="e">
        <f t="shared" ref="B61:W61" si="25">B54+B48+B47+B43+B38+B37+B33+B21+B20+B19+B15+B14+B13</f>
        <v>#REF!</v>
      </c>
      <c r="C61" s="28" t="e">
        <f t="shared" si="25"/>
        <v>#REF!</v>
      </c>
      <c r="D61" s="28" t="e">
        <f t="shared" si="25"/>
        <v>#REF!</v>
      </c>
      <c r="E61" s="28" t="e">
        <f t="shared" si="25"/>
        <v>#REF!</v>
      </c>
      <c r="F61" s="28" t="e">
        <f t="shared" si="25"/>
        <v>#REF!</v>
      </c>
      <c r="G61" s="28" t="e">
        <f t="shared" si="25"/>
        <v>#REF!</v>
      </c>
      <c r="H61" s="28" t="e">
        <f t="shared" si="25"/>
        <v>#REF!</v>
      </c>
      <c r="I61" s="28" t="e">
        <f t="shared" si="25"/>
        <v>#REF!</v>
      </c>
      <c r="J61" s="28" t="e">
        <f t="shared" si="25"/>
        <v>#REF!</v>
      </c>
      <c r="K61" s="28">
        <f t="shared" si="25"/>
        <v>4445.111736111111</v>
      </c>
      <c r="L61" s="28">
        <f t="shared" si="25"/>
        <v>4955.111736111111</v>
      </c>
      <c r="M61" s="28">
        <f t="shared" si="25"/>
        <v>5102.111736111111</v>
      </c>
      <c r="N61" s="28" t="e">
        <f t="shared" si="25"/>
        <v>#REF!</v>
      </c>
      <c r="O61" s="28">
        <f t="shared" si="25"/>
        <v>0</v>
      </c>
      <c r="P61" s="28" t="e">
        <f t="shared" si="25"/>
        <v>#REF!</v>
      </c>
      <c r="Q61" s="28">
        <f t="shared" si="25"/>
        <v>0</v>
      </c>
      <c r="R61" s="28">
        <f t="shared" si="25"/>
        <v>0</v>
      </c>
      <c r="S61" s="28">
        <f t="shared" si="25"/>
        <v>0</v>
      </c>
      <c r="T61" s="28">
        <f t="shared" si="25"/>
        <v>0</v>
      </c>
      <c r="U61" s="28">
        <f t="shared" si="25"/>
        <v>0</v>
      </c>
      <c r="V61" s="28">
        <f t="shared" si="25"/>
        <v>0</v>
      </c>
      <c r="W61" s="28" t="e">
        <f t="shared" si="25"/>
        <v>#REF!</v>
      </c>
      <c r="Y61" s="28" t="e">
        <f>Y54+Y48+Y47+Y43+Y38+Y37+Y33+Y21+Y20+Y19+Y15+Y14+Y13</f>
        <v>#REF!</v>
      </c>
      <c r="Z61" s="28" t="e">
        <f>Z54+Z48+Z47+Z43+Z38+Z37+Z33+Z21+Z20+Z19+Z15+Z14+Z13</f>
        <v>#REF!</v>
      </c>
      <c r="AB61" s="28" t="e">
        <f>AB54+AB48+AB47+AB43+AB38+AB37+AB33+AB21+AB20+AB19+AB15+AB14+AB13</f>
        <v>#REF!</v>
      </c>
      <c r="AC61" s="28" t="e">
        <f>AC54+AC48+AC47+AC43+AC38+AC37+AC33+AC21+AC20+AC19+AC15+AC14+AC13</f>
        <v>#REF!</v>
      </c>
      <c r="AD61" s="126" t="str">
        <f>IF(ISERROR((AB61/N61)-1),"-",(AB61/N61)-1)</f>
        <v>-</v>
      </c>
    </row>
    <row r="62" spans="1:30" s="19" customFormat="1">
      <c r="A62" s="7"/>
      <c r="B62" s="36"/>
      <c r="C62" s="36"/>
      <c r="D62" s="36"/>
      <c r="E62" s="36"/>
      <c r="F62" s="36"/>
      <c r="G62" s="36"/>
      <c r="H62" s="36"/>
      <c r="I62" s="36"/>
      <c r="J62" s="36"/>
      <c r="K62" s="36"/>
      <c r="L62" s="36"/>
      <c r="M62" s="36"/>
      <c r="N62" s="36"/>
      <c r="O62" s="36"/>
      <c r="P62" s="36"/>
      <c r="Q62" s="36"/>
      <c r="R62" s="36"/>
      <c r="S62" s="36"/>
      <c r="T62" s="36"/>
      <c r="U62" s="36"/>
      <c r="V62" s="36"/>
      <c r="W62" s="36"/>
      <c r="Y62" s="36"/>
      <c r="Z62" s="36"/>
      <c r="AB62" s="36"/>
    </row>
    <row r="63" spans="1:30" s="19" customFormat="1" ht="14.65" thickBot="1">
      <c r="A63" s="7" t="s">
        <v>132</v>
      </c>
      <c r="B63" s="28" t="e">
        <f t="shared" ref="B63:W63" si="26">B61+B10</f>
        <v>#REF!</v>
      </c>
      <c r="C63" s="28" t="e">
        <f t="shared" si="26"/>
        <v>#REF!</v>
      </c>
      <c r="D63" s="28" t="e">
        <f t="shared" si="26"/>
        <v>#REF!</v>
      </c>
      <c r="E63" s="28" t="e">
        <f t="shared" si="26"/>
        <v>#REF!</v>
      </c>
      <c r="F63" s="28" t="e">
        <f t="shared" si="26"/>
        <v>#REF!</v>
      </c>
      <c r="G63" s="28" t="e">
        <f t="shared" si="26"/>
        <v>#REF!</v>
      </c>
      <c r="H63" s="28" t="e">
        <f t="shared" si="26"/>
        <v>#REF!</v>
      </c>
      <c r="I63" s="28" t="e">
        <f t="shared" si="26"/>
        <v>#REF!</v>
      </c>
      <c r="J63" s="28" t="e">
        <f t="shared" si="26"/>
        <v>#REF!</v>
      </c>
      <c r="K63" s="28">
        <f t="shared" si="26"/>
        <v>4445.111736111111</v>
      </c>
      <c r="L63" s="28">
        <f t="shared" si="26"/>
        <v>4955.111736111111</v>
      </c>
      <c r="M63" s="28">
        <f t="shared" si="26"/>
        <v>5102.111736111111</v>
      </c>
      <c r="N63" s="28" t="e">
        <f t="shared" si="26"/>
        <v>#REF!</v>
      </c>
      <c r="O63" s="28">
        <f t="shared" si="26"/>
        <v>0</v>
      </c>
      <c r="P63" s="28" t="e">
        <f t="shared" si="26"/>
        <v>#REF!</v>
      </c>
      <c r="Q63" s="28">
        <f t="shared" si="26"/>
        <v>0</v>
      </c>
      <c r="R63" s="28">
        <f t="shared" si="26"/>
        <v>0</v>
      </c>
      <c r="S63" s="28">
        <f t="shared" si="26"/>
        <v>0</v>
      </c>
      <c r="T63" s="28">
        <f t="shared" si="26"/>
        <v>0</v>
      </c>
      <c r="U63" s="28">
        <f t="shared" si="26"/>
        <v>0</v>
      </c>
      <c r="V63" s="28">
        <f t="shared" si="26"/>
        <v>0</v>
      </c>
      <c r="W63" s="28" t="e">
        <f t="shared" si="26"/>
        <v>#REF!</v>
      </c>
      <c r="Y63" s="28" t="e">
        <f>Y61+Y10</f>
        <v>#REF!</v>
      </c>
      <c r="Z63" s="28" t="e">
        <f>Z61+Z10</f>
        <v>#REF!</v>
      </c>
      <c r="AB63" s="28" t="e">
        <f>AB61+AB10</f>
        <v>#REF!</v>
      </c>
      <c r="AC63" s="28" t="e">
        <f>AC61+AC10</f>
        <v>#REF!</v>
      </c>
      <c r="AD63" s="126" t="str">
        <f>IF(ISERROR((AB63/N63)-1),"-",(AB63/N63)-1)</f>
        <v>-</v>
      </c>
    </row>
    <row r="64" spans="1:30">
      <c r="G64" s="13"/>
      <c r="N64" s="13"/>
      <c r="O64" s="133">
        <f>108.41+63705+657+219.39+978+1500+4101.8+248.37+8227.34+9611.67+15223.85+972.29+1033.11+1300.09+18131.37+621+2607.17+2307.6+666.6+4299.34+1491.03+496.22+4496.86+170+3034.09+270+1268+910+2980.71+240+38+9787.43</f>
        <v>161701.73999999996</v>
      </c>
      <c r="P64" s="13"/>
      <c r="Q64" s="13"/>
      <c r="R64" s="13"/>
      <c r="S64" s="13"/>
      <c r="T64" s="13"/>
      <c r="U64" s="13"/>
      <c r="V64" s="13"/>
      <c r="W64" s="13"/>
      <c r="Y64" s="13"/>
      <c r="Z64" s="13"/>
      <c r="AB64" s="13"/>
    </row>
    <row r="65" spans="1:30">
      <c r="A65" s="7" t="s">
        <v>387</v>
      </c>
      <c r="G65" s="13"/>
      <c r="N65" s="13"/>
      <c r="O65" s="133">
        <f>O63-O64</f>
        <v>-161701.73999999996</v>
      </c>
      <c r="P65" s="13"/>
      <c r="Q65" s="13"/>
      <c r="R65" s="13"/>
      <c r="S65" s="13"/>
      <c r="T65" s="13"/>
      <c r="U65" s="13"/>
      <c r="V65" s="13"/>
      <c r="W65" s="13"/>
      <c r="Y65" s="13"/>
      <c r="Z65" s="13"/>
      <c r="AB65" s="13"/>
    </row>
    <row r="66" spans="1:30">
      <c r="A66" t="s">
        <v>388</v>
      </c>
      <c r="B66" s="13" t="e">
        <f>'Expend - Overall'!#REF!</f>
        <v>#REF!</v>
      </c>
      <c r="C66" s="13" t="e">
        <f>'Expend - Overall'!#REF!</f>
        <v>#REF!</v>
      </c>
      <c r="D66" s="13" t="e">
        <f>'Expend - Overall'!#REF!</f>
        <v>#REF!</v>
      </c>
      <c r="E66" s="13" t="e">
        <f>'Expend - Overall'!#REF!</f>
        <v>#REF!</v>
      </c>
      <c r="F66" s="13" t="e">
        <f>'Expend - Overall'!#REF!</f>
        <v>#REF!</v>
      </c>
      <c r="G66" s="13" t="e">
        <f>'Expend - Overall'!#REF!</f>
        <v>#REF!</v>
      </c>
      <c r="H66" s="13" t="e">
        <f>'Expend - Overall'!#REF!</f>
        <v>#REF!</v>
      </c>
      <c r="I66" s="13" t="e">
        <f>'Expend - Overall'!#REF!</f>
        <v>#REF!</v>
      </c>
      <c r="J66" s="13" t="e">
        <f>'Expend - Overall'!#REF!</f>
        <v>#REF!</v>
      </c>
      <c r="K66" s="13">
        <v>12.5</v>
      </c>
      <c r="L66" s="13">
        <v>12.5</v>
      </c>
      <c r="M66" s="13">
        <v>12.5</v>
      </c>
      <c r="N66" s="13" t="e">
        <f t="shared" ref="N66:N73" si="27">SUM(B66:M66)</f>
        <v>#REF!</v>
      </c>
      <c r="O66" s="13"/>
      <c r="P66" s="13"/>
      <c r="Q66" s="13"/>
      <c r="R66" s="13"/>
      <c r="S66" s="13"/>
      <c r="T66" s="13"/>
      <c r="U66" s="13"/>
      <c r="V66" s="13"/>
      <c r="W66" s="13"/>
      <c r="Y66" s="13" t="e">
        <f>SUMIF('Expend - OverallBUD'!$C$2:$N$2,'Expend - Forecast'!$Y$2,'Expend - OverallBUD'!#REF!)</f>
        <v>#REF!</v>
      </c>
      <c r="Z66" s="13" t="e">
        <f t="shared" ref="Z66:Z73" si="28">Y66-N66</f>
        <v>#REF!</v>
      </c>
      <c r="AB66" s="13" t="e">
        <f>SUMIF('Expend - OverallPY'!$B$2:$M$2,'Expend - Forecast'!$AB$2,'Expend - OverallPY'!#REF!)</f>
        <v>#REF!</v>
      </c>
      <c r="AC66" s="13" t="e">
        <f t="shared" ref="AC66:AC73" si="29">AB66-N66</f>
        <v>#REF!</v>
      </c>
      <c r="AD66" s="134" t="str">
        <f t="shared" ref="AD66:AD73" si="30">IF(ISERROR((AB66/N66)-1),"-",(AB66/N66)-1)</f>
        <v>-</v>
      </c>
    </row>
    <row r="67" spans="1:30">
      <c r="A67" t="s">
        <v>389</v>
      </c>
      <c r="B67" s="13" t="e">
        <f>'Expend - Overall'!#REF!</f>
        <v>#REF!</v>
      </c>
      <c r="C67" s="13" t="e">
        <f>'Expend - Overall'!#REF!</f>
        <v>#REF!</v>
      </c>
      <c r="D67" s="13" t="e">
        <f>'Expend - Overall'!#REF!</f>
        <v>#REF!</v>
      </c>
      <c r="E67" s="13" t="e">
        <f>'Expend - Overall'!#REF!</f>
        <v>#REF!</v>
      </c>
      <c r="F67" s="13" t="e">
        <f>'Expend - Overall'!#REF!</f>
        <v>#REF!</v>
      </c>
      <c r="G67" s="13" t="e">
        <f>'Expend - Overall'!#REF!</f>
        <v>#REF!</v>
      </c>
      <c r="H67" s="13" t="e">
        <f>'Expend - Overall'!#REF!</f>
        <v>#REF!</v>
      </c>
      <c r="I67" s="13" t="e">
        <f>'Expend - Overall'!#REF!</f>
        <v>#REF!</v>
      </c>
      <c r="J67" s="13" t="e">
        <f>'Expend - Overall'!#REF!</f>
        <v>#REF!</v>
      </c>
      <c r="K67" s="13">
        <v>8.3333333333333339</v>
      </c>
      <c r="L67" s="13">
        <v>8.3333333333333339</v>
      </c>
      <c r="M67" s="13">
        <v>8.3333333333333339</v>
      </c>
      <c r="N67" s="13" t="e">
        <f t="shared" si="27"/>
        <v>#REF!</v>
      </c>
      <c r="O67" s="13"/>
      <c r="P67" s="13"/>
      <c r="Q67" s="13"/>
      <c r="R67" s="13"/>
      <c r="S67" s="13"/>
      <c r="T67" s="13"/>
      <c r="U67" s="13"/>
      <c r="V67" s="13"/>
      <c r="W67" s="13"/>
      <c r="Y67" s="13" t="e">
        <f>SUMIF('Expend - OverallBUD'!$C$2:$N$2,'Expend - Forecast'!$Y$2,'Expend - OverallBUD'!#REF!)</f>
        <v>#REF!</v>
      </c>
      <c r="Z67" s="13" t="e">
        <f t="shared" si="28"/>
        <v>#REF!</v>
      </c>
      <c r="AB67" s="13" t="e">
        <f>SUMIF('Expend - OverallPY'!$B$2:$M$2,'Expend - Forecast'!$AB$2,'Expend - OverallPY'!#REF!)</f>
        <v>#REF!</v>
      </c>
      <c r="AC67" s="13" t="e">
        <f t="shared" si="29"/>
        <v>#REF!</v>
      </c>
      <c r="AD67" s="134" t="str">
        <f t="shared" si="30"/>
        <v>-</v>
      </c>
    </row>
    <row r="68" spans="1:30">
      <c r="A68" t="s">
        <v>390</v>
      </c>
      <c r="B68" s="13" t="e">
        <f>'Expend - Overall'!#REF!</f>
        <v>#REF!</v>
      </c>
      <c r="C68" s="13" t="e">
        <f>'Expend - Overall'!#REF!</f>
        <v>#REF!</v>
      </c>
      <c r="D68" s="13" t="e">
        <f>'Expend - Overall'!#REF!</f>
        <v>#REF!</v>
      </c>
      <c r="E68" s="13" t="e">
        <f>'Expend - Overall'!#REF!</f>
        <v>#REF!</v>
      </c>
      <c r="F68" s="13" t="e">
        <f>'Expend - Overall'!#REF!</f>
        <v>#REF!</v>
      </c>
      <c r="G68" s="13" t="e">
        <f>'Expend - Overall'!#REF!</f>
        <v>#REF!</v>
      </c>
      <c r="H68" s="13" t="e">
        <f>'Expend - Overall'!#REF!</f>
        <v>#REF!</v>
      </c>
      <c r="I68" s="13" t="e">
        <f>'Expend - Overall'!#REF!</f>
        <v>#REF!</v>
      </c>
      <c r="J68" s="13" t="e">
        <f>'Expend - Overall'!#REF!</f>
        <v>#REF!</v>
      </c>
      <c r="K68" s="13">
        <v>83.333333333333329</v>
      </c>
      <c r="L68" s="13">
        <v>83.333333333333329</v>
      </c>
      <c r="M68" s="13">
        <v>83.333333333333329</v>
      </c>
      <c r="N68" s="13" t="e">
        <f t="shared" si="27"/>
        <v>#REF!</v>
      </c>
      <c r="O68" s="13"/>
      <c r="P68" s="13"/>
      <c r="Q68" s="13"/>
      <c r="R68" s="13"/>
      <c r="S68" s="13"/>
      <c r="T68" s="13"/>
      <c r="U68" s="13"/>
      <c r="V68" s="13"/>
      <c r="W68" s="13"/>
      <c r="Y68" s="13" t="e">
        <f>SUMIF('Expend - OverallBUD'!$C$2:$N$2,'Expend - Forecast'!$Y$2,'Expend - OverallBUD'!#REF!)</f>
        <v>#REF!</v>
      </c>
      <c r="Z68" s="13" t="e">
        <f t="shared" si="28"/>
        <v>#REF!</v>
      </c>
      <c r="AB68" s="13" t="e">
        <f>SUMIF('Expend - OverallPY'!$B$2:$M$2,'Expend - Forecast'!$AB$2,'Expend - OverallPY'!#REF!)</f>
        <v>#REF!</v>
      </c>
      <c r="AC68" s="13" t="e">
        <f t="shared" si="29"/>
        <v>#REF!</v>
      </c>
      <c r="AD68" s="134" t="str">
        <f t="shared" si="30"/>
        <v>-</v>
      </c>
    </row>
    <row r="69" spans="1:30">
      <c r="A69" t="s">
        <v>391</v>
      </c>
      <c r="B69" s="13" t="e">
        <f>'Expend - Overall'!#REF!</f>
        <v>#REF!</v>
      </c>
      <c r="C69" s="13" t="e">
        <f>'Expend - Overall'!#REF!</f>
        <v>#REF!</v>
      </c>
      <c r="D69" s="13" t="e">
        <f>'Expend - Overall'!#REF!</f>
        <v>#REF!</v>
      </c>
      <c r="E69" s="13" t="e">
        <f>'Expend - Overall'!#REF!</f>
        <v>#REF!</v>
      </c>
      <c r="F69" s="13" t="e">
        <f>'Expend - Overall'!#REF!</f>
        <v>#REF!</v>
      </c>
      <c r="G69" s="13" t="e">
        <f>'Expend - Overall'!#REF!</f>
        <v>#REF!</v>
      </c>
      <c r="H69" s="13" t="e">
        <f>'Expend - Overall'!#REF!</f>
        <v>#REF!</v>
      </c>
      <c r="I69" s="13" t="e">
        <f>'Expend - Overall'!#REF!</f>
        <v>#REF!</v>
      </c>
      <c r="J69" s="13" t="e">
        <f>'Expend - Overall'!#REF!</f>
        <v>#REF!</v>
      </c>
      <c r="K69" s="13">
        <v>12.5</v>
      </c>
      <c r="L69" s="13">
        <v>12.5</v>
      </c>
      <c r="M69" s="13">
        <v>12.5</v>
      </c>
      <c r="N69" s="13" t="e">
        <f t="shared" si="27"/>
        <v>#REF!</v>
      </c>
      <c r="O69" s="13"/>
      <c r="P69" s="13"/>
      <c r="Q69" s="13"/>
      <c r="R69" s="13"/>
      <c r="S69" s="13"/>
      <c r="T69" s="13"/>
      <c r="U69" s="13"/>
      <c r="V69" s="13"/>
      <c r="W69" s="13"/>
      <c r="Y69" s="13" t="e">
        <f>SUMIF('Expend - OverallBUD'!$C$2:$N$2,'Expend - Forecast'!$Y$2,'Expend - OverallBUD'!#REF!)</f>
        <v>#REF!</v>
      </c>
      <c r="Z69" s="13" t="e">
        <f t="shared" si="28"/>
        <v>#REF!</v>
      </c>
      <c r="AB69" s="13" t="e">
        <f>SUMIF('Expend - OverallPY'!$B$2:$M$2,'Expend - Forecast'!$AB$2,'Expend - OverallPY'!#REF!)</f>
        <v>#REF!</v>
      </c>
      <c r="AC69" s="13" t="e">
        <f t="shared" si="29"/>
        <v>#REF!</v>
      </c>
      <c r="AD69" s="134" t="str">
        <f t="shared" si="30"/>
        <v>-</v>
      </c>
    </row>
    <row r="70" spans="1:30">
      <c r="A70" t="s">
        <v>392</v>
      </c>
      <c r="B70" s="13" t="e">
        <f>'Expend - Overall'!#REF!</f>
        <v>#REF!</v>
      </c>
      <c r="C70" s="13" t="e">
        <f>'Expend - Overall'!#REF!</f>
        <v>#REF!</v>
      </c>
      <c r="D70" s="13" t="e">
        <f>'Expend - Overall'!#REF!</f>
        <v>#REF!</v>
      </c>
      <c r="E70" s="13" t="e">
        <f>'Expend - Overall'!#REF!</f>
        <v>#REF!</v>
      </c>
      <c r="F70" s="13" t="e">
        <f>'Expend - Overall'!#REF!</f>
        <v>#REF!</v>
      </c>
      <c r="G70" s="13" t="e">
        <f>'Expend - Overall'!#REF!</f>
        <v>#REF!</v>
      </c>
      <c r="H70" s="13" t="e">
        <f>'Expend - Overall'!#REF!</f>
        <v>#REF!</v>
      </c>
      <c r="I70" s="13" t="e">
        <f>'Expend - Overall'!#REF!</f>
        <v>#REF!</v>
      </c>
      <c r="J70" s="13" t="e">
        <f>'Expend - Overall'!#REF!</f>
        <v>#REF!</v>
      </c>
      <c r="K70" s="13">
        <v>12.5</v>
      </c>
      <c r="L70" s="13">
        <v>12.5</v>
      </c>
      <c r="M70" s="13">
        <v>12.5</v>
      </c>
      <c r="N70" s="13" t="e">
        <f t="shared" si="27"/>
        <v>#REF!</v>
      </c>
      <c r="O70" s="13"/>
      <c r="P70" s="13"/>
      <c r="Q70" s="13"/>
      <c r="R70" s="13"/>
      <c r="S70" s="13"/>
      <c r="T70" s="13"/>
      <c r="U70" s="13"/>
      <c r="V70" s="13"/>
      <c r="W70" s="13"/>
      <c r="Y70" s="13" t="e">
        <f>SUMIF('Expend - OverallBUD'!$C$2:$N$2,'Expend - Forecast'!$Y$2,'Expend - OverallBUD'!#REF!)</f>
        <v>#REF!</v>
      </c>
      <c r="Z70" s="13" t="e">
        <f t="shared" si="28"/>
        <v>#REF!</v>
      </c>
      <c r="AB70" s="13" t="e">
        <f>SUMIF('Expend - OverallPY'!$B$2:$M$2,'Expend - Forecast'!$AB$2,'Expend - OverallPY'!#REF!)</f>
        <v>#REF!</v>
      </c>
      <c r="AC70" s="13" t="e">
        <f t="shared" si="29"/>
        <v>#REF!</v>
      </c>
      <c r="AD70" s="134" t="str">
        <f t="shared" si="30"/>
        <v>-</v>
      </c>
    </row>
    <row r="71" spans="1:30">
      <c r="A71" t="s">
        <v>382</v>
      </c>
      <c r="B71" s="13" t="e">
        <f>'Expend - Overall'!#REF!</f>
        <v>#REF!</v>
      </c>
      <c r="C71" s="13" t="e">
        <f>'Expend - Overall'!#REF!</f>
        <v>#REF!</v>
      </c>
      <c r="D71" s="13" t="e">
        <f>'Expend - Overall'!#REF!</f>
        <v>#REF!</v>
      </c>
      <c r="E71" s="13" t="e">
        <f>'Expend - Overall'!#REF!</f>
        <v>#REF!</v>
      </c>
      <c r="F71" s="13" t="e">
        <f>'Expend - Overall'!#REF!</f>
        <v>#REF!</v>
      </c>
      <c r="G71" s="13" t="e">
        <f>'Expend - Overall'!#REF!</f>
        <v>#REF!</v>
      </c>
      <c r="H71" s="13" t="e">
        <f>'Expend - Overall'!#REF!</f>
        <v>#REF!</v>
      </c>
      <c r="I71" s="13" t="e">
        <f>'Expend - Overall'!#REF!</f>
        <v>#REF!</v>
      </c>
      <c r="J71" s="13" t="e">
        <f>'Expend - Overall'!#REF!</f>
        <v>#REF!</v>
      </c>
      <c r="K71" s="13">
        <v>12.5</v>
      </c>
      <c r="L71" s="13">
        <v>12.5</v>
      </c>
      <c r="M71" s="13">
        <v>12.5</v>
      </c>
      <c r="N71" s="13" t="e">
        <f t="shared" si="27"/>
        <v>#REF!</v>
      </c>
      <c r="O71" s="13"/>
      <c r="P71" s="13"/>
      <c r="Q71" s="13"/>
      <c r="R71" s="13"/>
      <c r="S71" s="13"/>
      <c r="T71" s="13"/>
      <c r="U71" s="13"/>
      <c r="V71" s="13"/>
      <c r="W71" s="13"/>
      <c r="Y71" s="13" t="e">
        <f>SUMIF('Expend - OverallBUD'!$C$2:$N$2,'Expend - Forecast'!$Y$2,'Expend - OverallBUD'!#REF!)</f>
        <v>#REF!</v>
      </c>
      <c r="Z71" s="13" t="e">
        <f t="shared" si="28"/>
        <v>#REF!</v>
      </c>
      <c r="AB71" s="13" t="e">
        <f>SUMIF('Expend - OverallPY'!$B$2:$M$2,'Expend - Forecast'!$AB$2,'Expend - OverallPY'!#REF!)</f>
        <v>#REF!</v>
      </c>
      <c r="AC71" s="13" t="e">
        <f t="shared" si="29"/>
        <v>#REF!</v>
      </c>
      <c r="AD71" s="134" t="str">
        <f t="shared" si="30"/>
        <v>-</v>
      </c>
    </row>
    <row r="72" spans="1:30">
      <c r="A72" t="s">
        <v>393</v>
      </c>
      <c r="B72" s="13" t="e">
        <f>'Expend - Overall'!#REF!</f>
        <v>#REF!</v>
      </c>
      <c r="C72" s="13" t="e">
        <f>'Expend - Overall'!#REF!</f>
        <v>#REF!</v>
      </c>
      <c r="D72" s="13" t="e">
        <f>'Expend - Overall'!#REF!</f>
        <v>#REF!</v>
      </c>
      <c r="E72" s="13" t="e">
        <f>'Expend - Overall'!#REF!</f>
        <v>#REF!</v>
      </c>
      <c r="F72" s="13" t="e">
        <f>'Expend - Overall'!#REF!</f>
        <v>#REF!</v>
      </c>
      <c r="G72" s="13" t="e">
        <f>'Expend - Overall'!#REF!</f>
        <v>#REF!</v>
      </c>
      <c r="H72" s="13" t="e">
        <f>'Expend - Overall'!#REF!</f>
        <v>#REF!</v>
      </c>
      <c r="I72" s="13" t="e">
        <f>'Expend - Overall'!#REF!</f>
        <v>#REF!</v>
      </c>
      <c r="J72" s="13" t="e">
        <f>'Expend - Overall'!#REF!</f>
        <v>#REF!</v>
      </c>
      <c r="K72" s="13">
        <v>12.5</v>
      </c>
      <c r="L72" s="13">
        <v>12.5</v>
      </c>
      <c r="M72" s="13">
        <v>12.5</v>
      </c>
      <c r="N72" s="13" t="e">
        <f t="shared" si="27"/>
        <v>#REF!</v>
      </c>
      <c r="O72" s="13"/>
      <c r="P72" s="13"/>
      <c r="Q72" s="13"/>
      <c r="R72" s="13"/>
      <c r="S72" s="13"/>
      <c r="T72" s="13"/>
      <c r="U72" s="13"/>
      <c r="V72" s="13"/>
      <c r="W72" s="13"/>
      <c r="Y72" s="13" t="e">
        <f>SUMIF('Expend - OverallBUD'!$C$2:$N$2,'Expend - Forecast'!$Y$2,'Expend - OverallBUD'!#REF!)</f>
        <v>#REF!</v>
      </c>
      <c r="Z72" s="13" t="e">
        <f t="shared" si="28"/>
        <v>#REF!</v>
      </c>
      <c r="AB72" s="13" t="e">
        <f>SUMIF('Expend - OverallPY'!$B$2:$M$2,'Expend - Forecast'!$AB$2,'Expend - OverallPY'!#REF!)</f>
        <v>#REF!</v>
      </c>
      <c r="AC72" s="13" t="e">
        <f t="shared" si="29"/>
        <v>#REF!</v>
      </c>
      <c r="AD72" s="134" t="str">
        <f t="shared" si="30"/>
        <v>-</v>
      </c>
    </row>
    <row r="73" spans="1:30">
      <c r="A73" t="s">
        <v>394</v>
      </c>
      <c r="B73" s="13" t="e">
        <f>'Expend - Overall'!#REF!</f>
        <v>#REF!</v>
      </c>
      <c r="C73" s="13" t="e">
        <f>'Expend - Overall'!#REF!</f>
        <v>#REF!</v>
      </c>
      <c r="D73" s="13" t="e">
        <f>'Expend - Overall'!#REF!</f>
        <v>#REF!</v>
      </c>
      <c r="E73" s="13" t="e">
        <f>'Expend - Overall'!#REF!</f>
        <v>#REF!</v>
      </c>
      <c r="F73" s="13" t="e">
        <f>'Expend - Overall'!#REF!</f>
        <v>#REF!</v>
      </c>
      <c r="G73" s="13" t="e">
        <f>'Expend - Overall'!#REF!</f>
        <v>#REF!</v>
      </c>
      <c r="H73" s="13" t="e">
        <f>'Expend - Overall'!#REF!</f>
        <v>#REF!</v>
      </c>
      <c r="I73" s="13" t="e">
        <f>'Expend - Overall'!#REF!</f>
        <v>#REF!</v>
      </c>
      <c r="J73" s="13" t="e">
        <f>'Expend - Overall'!#REF!</f>
        <v>#REF!</v>
      </c>
      <c r="M73" s="13">
        <v>-250</v>
      </c>
      <c r="N73" s="13" t="e">
        <f t="shared" si="27"/>
        <v>#REF!</v>
      </c>
      <c r="O73" s="13"/>
      <c r="P73" s="13"/>
      <c r="Q73" s="13"/>
      <c r="R73" s="13"/>
      <c r="S73" s="13"/>
      <c r="T73" s="13"/>
      <c r="U73" s="13"/>
      <c r="V73" s="13"/>
      <c r="W73" s="13"/>
      <c r="Y73" s="13" t="e">
        <f>SUMIF('Expend - OverallBUD'!$C$2:$N$2,'Expend - Forecast'!$Y$2,'Expend - OverallBUD'!#REF!)</f>
        <v>#REF!</v>
      </c>
      <c r="Z73" s="13" t="e">
        <f t="shared" si="28"/>
        <v>#REF!</v>
      </c>
      <c r="AB73" s="13" t="e">
        <f>SUMIF('Expend - OverallPY'!$B$2:$M$2,'Expend - Forecast'!$AB$2,'Expend - OverallPY'!#REF!)</f>
        <v>#REF!</v>
      </c>
      <c r="AC73" s="13" t="e">
        <f t="shared" si="29"/>
        <v>#REF!</v>
      </c>
      <c r="AD73" s="134" t="str">
        <f t="shared" si="30"/>
        <v>-</v>
      </c>
    </row>
    <row r="74" spans="1:30">
      <c r="A74" s="7" t="s">
        <v>395</v>
      </c>
      <c r="B74" s="26" t="e">
        <f t="shared" ref="B74:N74" si="31">SUM(B66:B73)</f>
        <v>#REF!</v>
      </c>
      <c r="C74" s="26" t="e">
        <f t="shared" si="31"/>
        <v>#REF!</v>
      </c>
      <c r="D74" s="26" t="e">
        <f t="shared" si="31"/>
        <v>#REF!</v>
      </c>
      <c r="E74" s="26" t="e">
        <f t="shared" si="31"/>
        <v>#REF!</v>
      </c>
      <c r="F74" s="26" t="e">
        <f t="shared" si="31"/>
        <v>#REF!</v>
      </c>
      <c r="G74" s="26" t="e">
        <f t="shared" si="31"/>
        <v>#REF!</v>
      </c>
      <c r="H74" s="26" t="e">
        <f t="shared" si="31"/>
        <v>#REF!</v>
      </c>
      <c r="I74" s="26" t="e">
        <f t="shared" si="31"/>
        <v>#REF!</v>
      </c>
      <c r="J74" s="26" t="e">
        <f t="shared" si="31"/>
        <v>#REF!</v>
      </c>
      <c r="K74" s="26">
        <f t="shared" si="31"/>
        <v>154.16666666666666</v>
      </c>
      <c r="L74" s="26">
        <f t="shared" si="31"/>
        <v>154.16666666666666</v>
      </c>
      <c r="M74" s="26">
        <f t="shared" si="31"/>
        <v>-95.833333333333343</v>
      </c>
      <c r="N74" s="26" t="e">
        <f t="shared" si="31"/>
        <v>#REF!</v>
      </c>
      <c r="O74" s="30"/>
      <c r="P74" s="30"/>
      <c r="Q74" s="30"/>
      <c r="R74" s="30"/>
      <c r="S74" s="30"/>
      <c r="T74" s="30"/>
      <c r="U74" s="30"/>
      <c r="V74" s="30"/>
      <c r="W74" s="30"/>
      <c r="Y74" s="26" t="e">
        <f>SUM(Y66:Y73)</f>
        <v>#REF!</v>
      </c>
      <c r="Z74" s="26" t="e">
        <f>SUM(Z66:Z73)</f>
        <v>#REF!</v>
      </c>
      <c r="AB74" s="26" t="e">
        <f>SUM(AB66:AB73)</f>
        <v>#REF!</v>
      </c>
      <c r="AC74" s="26" t="e">
        <f>SUM(AC66:AC73)</f>
        <v>#REF!</v>
      </c>
      <c r="AD74" s="135" t="str">
        <f>IF(ISERROR((AB74/N74)-1),"-",(AB74/N74)-1)</f>
        <v>-</v>
      </c>
    </row>
  </sheetData>
  <pageMargins left="0.70866141732283472" right="0.70866141732283472" top="0.74803149606299213" bottom="0.74803149606299213" header="0.31496062992125984" footer="0.31496062992125984"/>
  <pageSetup paperSize="9" scale="40" orientation="portrait" r:id="rId1"/>
  <headerFooter alignWithMargins="0"/>
  <legacy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Y62"/>
  <sheetViews>
    <sheetView topLeftCell="A61" zoomScaleNormal="100" workbookViewId="0">
      <selection activeCell="B8" sqref="B8:N62"/>
    </sheetView>
  </sheetViews>
  <sheetFormatPr defaultRowHeight="14.25"/>
  <cols>
    <col min="1" max="1" width="34.42578125" bestFit="1" customWidth="1"/>
    <col min="2" max="2" width="7.28515625" style="13" bestFit="1" customWidth="1"/>
    <col min="3" max="3" width="7.5703125" style="13" bestFit="1" customWidth="1"/>
    <col min="4" max="4" width="8.85546875" style="13" bestFit="1" customWidth="1"/>
    <col min="5" max="13" width="7.5703125" style="13" bestFit="1" customWidth="1"/>
    <col min="14" max="14" width="8.5703125" style="13" bestFit="1" customWidth="1"/>
    <col min="15" max="15" width="3" customWidth="1"/>
    <col min="17" max="18" width="11" style="4" hidden="1" customWidth="1"/>
    <col min="19" max="23" width="0" style="4" hidden="1" customWidth="1"/>
    <col min="24" max="24" width="10" style="4" hidden="1" customWidth="1"/>
    <col min="25" max="25" width="0" style="4" hidden="1" customWidth="1"/>
  </cols>
  <sheetData>
    <row r="1" spans="1:25">
      <c r="A1" s="1" t="s">
        <v>0</v>
      </c>
    </row>
    <row r="2" spans="1:25">
      <c r="A2" s="1" t="s">
        <v>10</v>
      </c>
      <c r="B2" s="78">
        <v>12</v>
      </c>
      <c r="C2" s="78">
        <v>12</v>
      </c>
      <c r="D2" s="78">
        <v>12</v>
      </c>
      <c r="E2" s="78">
        <v>12</v>
      </c>
      <c r="F2" s="78">
        <v>12</v>
      </c>
      <c r="G2" s="78">
        <v>12</v>
      </c>
      <c r="H2" s="78">
        <v>12</v>
      </c>
      <c r="I2" s="78">
        <v>12</v>
      </c>
      <c r="J2" s="78">
        <v>12</v>
      </c>
      <c r="K2" s="78">
        <v>12</v>
      </c>
      <c r="L2" s="78">
        <v>12</v>
      </c>
      <c r="M2" s="78">
        <v>12</v>
      </c>
    </row>
    <row r="3" spans="1:25">
      <c r="A3" s="1" t="str">
        <f>'Income - OverallPY'!A3</f>
        <v>As at 31 December 2024</v>
      </c>
      <c r="B3" s="78">
        <v>1</v>
      </c>
      <c r="C3" s="78">
        <v>2</v>
      </c>
      <c r="D3" s="78">
        <v>3</v>
      </c>
      <c r="E3" s="78">
        <v>4</v>
      </c>
      <c r="F3" s="78">
        <v>5</v>
      </c>
      <c r="G3" s="78">
        <v>6</v>
      </c>
      <c r="H3" s="78">
        <v>7</v>
      </c>
      <c r="I3" s="78">
        <v>8</v>
      </c>
      <c r="J3" s="78">
        <v>9</v>
      </c>
      <c r="K3" s="78">
        <v>10</v>
      </c>
      <c r="L3" s="78">
        <v>11</v>
      </c>
      <c r="M3" s="78">
        <v>12</v>
      </c>
    </row>
    <row r="4" spans="1:25">
      <c r="A4" s="1" t="s">
        <v>86</v>
      </c>
      <c r="B4" s="78">
        <f>IF('Expend - Overall'!$AB$2&gt;='Expend - OverallPY'!B3,'Expend - Overall'!$AB$2,0)</f>
        <v>5</v>
      </c>
      <c r="C4" s="78">
        <f>IF('Expend - Overall'!$AB$2&gt;='Expend - OverallPY'!C3,'Expend - Overall'!$AB$2,0)</f>
        <v>5</v>
      </c>
      <c r="D4" s="78">
        <f>IF('Expend - Overall'!$AB$2&gt;='Expend - OverallPY'!D3,'Expend - Overall'!$AB$2,0)</f>
        <v>5</v>
      </c>
      <c r="E4" s="78">
        <f>IF('Expend - Overall'!$AB$2&gt;='Expend - OverallPY'!E3,'Expend - Overall'!$AB$2,0)</f>
        <v>5</v>
      </c>
      <c r="F4" s="78">
        <f>IF('Expend - Overall'!$AB$2&gt;='Expend - OverallPY'!F3,'Expend - Overall'!$AB$2,0)</f>
        <v>5</v>
      </c>
      <c r="G4" s="78">
        <f>IF('Expend - Overall'!$AB$2&gt;='Expend - OverallPY'!G3,'Expend - Overall'!$AB$2,0)</f>
        <v>0</v>
      </c>
      <c r="H4" s="78">
        <f>IF('Expend - Overall'!$AB$2&gt;='Expend - OverallPY'!H3,'Expend - Overall'!$AB$2,0)</f>
        <v>0</v>
      </c>
      <c r="I4" s="78">
        <f>IF('Expend - Overall'!$AB$2&gt;='Expend - OverallPY'!I3,'Expend - Overall'!$AB$2,0)</f>
        <v>0</v>
      </c>
      <c r="J4" s="78">
        <f>IF('Expend - Overall'!$AB$2&gt;='Expend - OverallPY'!J3,'Expend - Overall'!$AB$2,0)</f>
        <v>0</v>
      </c>
      <c r="K4" s="78">
        <f>IF('Expend - Overall'!$AB$2&gt;='Expend - OverallPY'!K3,'Expend - Overall'!$AB$2,0)</f>
        <v>0</v>
      </c>
      <c r="L4" s="78">
        <f>IF('Expend - Overall'!$AB$2&gt;='Expend - OverallPY'!L3,'Expend - Overall'!$AB$2,0)</f>
        <v>0</v>
      </c>
      <c r="M4" s="78">
        <f>IF('Expend - Overall'!$AB$2&gt;='Expend - OverallPY'!M3,'Expend - Overall'!$AB$2,0)</f>
        <v>0</v>
      </c>
    </row>
    <row r="5" spans="1:25">
      <c r="A5" s="7"/>
      <c r="B5" s="30"/>
      <c r="C5" s="30"/>
      <c r="D5" s="30"/>
      <c r="E5" s="30"/>
      <c r="F5" s="30"/>
      <c r="G5" s="30"/>
      <c r="H5" s="30"/>
      <c r="I5" s="30"/>
      <c r="J5" s="30"/>
      <c r="K5" s="30"/>
      <c r="L5" s="30"/>
      <c r="M5" s="30"/>
      <c r="N5" s="30"/>
    </row>
    <row r="6" spans="1:25">
      <c r="A6" s="12"/>
      <c r="B6" s="31" t="s">
        <v>22</v>
      </c>
      <c r="C6" s="31" t="s">
        <v>23</v>
      </c>
      <c r="D6" s="31" t="s">
        <v>24</v>
      </c>
      <c r="E6" s="31" t="s">
        <v>25</v>
      </c>
      <c r="F6" s="31" t="s">
        <v>26</v>
      </c>
      <c r="G6" s="31" t="s">
        <v>27</v>
      </c>
      <c r="H6" s="31" t="s">
        <v>28</v>
      </c>
      <c r="I6" s="31" t="s">
        <v>29</v>
      </c>
      <c r="J6" s="31" t="s">
        <v>30</v>
      </c>
      <c r="K6" s="31" t="s">
        <v>31</v>
      </c>
      <c r="L6" s="31" t="s">
        <v>32</v>
      </c>
      <c r="M6" s="31" t="s">
        <v>33</v>
      </c>
      <c r="N6" s="31" t="s">
        <v>34</v>
      </c>
      <c r="Q6" s="72" t="s">
        <v>396</v>
      </c>
      <c r="R6" s="72" t="s">
        <v>36</v>
      </c>
      <c r="S6" s="72" t="s">
        <v>397</v>
      </c>
      <c r="T6" s="72" t="s">
        <v>398</v>
      </c>
      <c r="X6" s="72" t="s">
        <v>399</v>
      </c>
    </row>
    <row r="7" spans="1:25">
      <c r="A7" s="1" t="s">
        <v>87</v>
      </c>
    </row>
    <row r="8" spans="1:25">
      <c r="A8" s="18" t="s">
        <v>88</v>
      </c>
      <c r="B8" s="13">
        <v>0</v>
      </c>
      <c r="C8" s="13">
        <v>0</v>
      </c>
      <c r="D8" s="13">
        <v>0</v>
      </c>
      <c r="E8" s="13">
        <v>0</v>
      </c>
      <c r="F8" s="13">
        <v>0</v>
      </c>
      <c r="G8" s="13">
        <v>0</v>
      </c>
      <c r="H8" s="13">
        <v>0</v>
      </c>
      <c r="I8" s="13">
        <v>0</v>
      </c>
      <c r="J8" s="13">
        <v>0</v>
      </c>
      <c r="K8" s="13">
        <v>0</v>
      </c>
      <c r="L8" s="13">
        <v>0</v>
      </c>
      <c r="M8" s="13">
        <v>0</v>
      </c>
      <c r="N8" s="13">
        <v>0</v>
      </c>
      <c r="Q8" s="4">
        <v>141.41</v>
      </c>
      <c r="R8" s="4">
        <f>N8-Q8</f>
        <v>-141.41</v>
      </c>
      <c r="X8" s="4">
        <f>R8+SUM(S8:W8)</f>
        <v>-141.41</v>
      </c>
    </row>
    <row r="9" spans="1:25">
      <c r="A9" s="18" t="s">
        <v>89</v>
      </c>
      <c r="B9" s="13">
        <v>0</v>
      </c>
      <c r="C9" s="13">
        <v>0</v>
      </c>
      <c r="D9" s="13">
        <v>0</v>
      </c>
      <c r="E9" s="13">
        <v>0</v>
      </c>
      <c r="F9" s="13">
        <v>0</v>
      </c>
      <c r="G9" s="13">
        <v>0</v>
      </c>
      <c r="H9" s="13">
        <v>0</v>
      </c>
      <c r="I9" s="13">
        <v>0</v>
      </c>
      <c r="J9" s="13">
        <v>0</v>
      </c>
      <c r="K9" s="13">
        <v>0</v>
      </c>
      <c r="L9" s="13">
        <v>0</v>
      </c>
      <c r="M9" s="13">
        <v>0</v>
      </c>
      <c r="N9" s="13">
        <v>0</v>
      </c>
      <c r="R9" s="4">
        <f>N9-Q9</f>
        <v>0</v>
      </c>
      <c r="X9" s="4">
        <f>R9+SUM(S9:W9)</f>
        <v>0</v>
      </c>
    </row>
    <row r="10" spans="1:25" ht="14.65" thickBot="1">
      <c r="A10" s="7" t="s">
        <v>90</v>
      </c>
      <c r="B10" s="125">
        <v>0</v>
      </c>
      <c r="C10" s="125">
        <v>0</v>
      </c>
      <c r="D10" s="125">
        <v>0</v>
      </c>
      <c r="E10" s="125">
        <v>0</v>
      </c>
      <c r="F10" s="125">
        <v>0</v>
      </c>
      <c r="G10" s="125">
        <v>0</v>
      </c>
      <c r="H10" s="125">
        <v>0</v>
      </c>
      <c r="I10" s="125">
        <v>0</v>
      </c>
      <c r="J10" s="125">
        <v>0</v>
      </c>
      <c r="K10" s="125">
        <v>0</v>
      </c>
      <c r="L10" s="125">
        <v>0</v>
      </c>
      <c r="M10" s="125">
        <v>0</v>
      </c>
      <c r="N10" s="125">
        <v>0</v>
      </c>
      <c r="Q10" s="73">
        <f t="shared" ref="Q10:X10" si="0">SUM(Q8:Q9)</f>
        <v>141.41</v>
      </c>
      <c r="R10" s="73">
        <f t="shared" si="0"/>
        <v>-141.41</v>
      </c>
      <c r="S10" s="73">
        <f t="shared" si="0"/>
        <v>0</v>
      </c>
      <c r="T10" s="73">
        <f t="shared" si="0"/>
        <v>0</v>
      </c>
      <c r="U10" s="73">
        <f t="shared" si="0"/>
        <v>0</v>
      </c>
      <c r="V10" s="73">
        <f t="shared" si="0"/>
        <v>0</v>
      </c>
      <c r="W10" s="73">
        <f t="shared" si="0"/>
        <v>0</v>
      </c>
      <c r="X10" s="73">
        <f t="shared" si="0"/>
        <v>-141.41</v>
      </c>
    </row>
    <row r="11" spans="1:25">
      <c r="A11" s="7"/>
    </row>
    <row r="12" spans="1:25">
      <c r="A12" s="1" t="s">
        <v>91</v>
      </c>
    </row>
    <row r="13" spans="1:25">
      <c r="A13" s="15" t="s">
        <v>92</v>
      </c>
      <c r="B13" s="13">
        <v>0</v>
      </c>
      <c r="C13" s="13">
        <v>5984.5</v>
      </c>
      <c r="D13" s="13">
        <v>5984.5</v>
      </c>
      <c r="E13" s="13">
        <v>5758.75</v>
      </c>
      <c r="F13" s="13">
        <v>5758.75</v>
      </c>
      <c r="G13" s="13">
        <v>5758.75</v>
      </c>
      <c r="H13" s="13">
        <v>5758.75</v>
      </c>
      <c r="I13" s="13">
        <v>5758.75</v>
      </c>
      <c r="J13" s="13">
        <v>5758.75</v>
      </c>
      <c r="K13" s="13">
        <v>5758.75</v>
      </c>
      <c r="L13" s="13">
        <v>5758.75</v>
      </c>
      <c r="M13" s="13">
        <v>0</v>
      </c>
      <c r="N13" s="13">
        <v>58039</v>
      </c>
      <c r="Q13" s="4">
        <v>63750</v>
      </c>
      <c r="R13" s="4">
        <f>N13-Q13</f>
        <v>-5711</v>
      </c>
      <c r="X13" s="4">
        <f>R13+SUM(S13:W13)</f>
        <v>-5711</v>
      </c>
    </row>
    <row r="14" spans="1:25">
      <c r="A14" s="15" t="s">
        <v>164</v>
      </c>
      <c r="B14" s="13">
        <v>0</v>
      </c>
      <c r="C14" s="13">
        <v>0</v>
      </c>
      <c r="D14" s="13">
        <v>0</v>
      </c>
      <c r="E14" s="13">
        <v>0</v>
      </c>
      <c r="F14" s="13">
        <v>3056</v>
      </c>
      <c r="G14" s="13">
        <v>0</v>
      </c>
      <c r="H14" s="13">
        <v>0</v>
      </c>
      <c r="I14" s="13">
        <v>0</v>
      </c>
      <c r="J14" s="13">
        <v>0</v>
      </c>
      <c r="K14" s="13">
        <v>0</v>
      </c>
      <c r="L14" s="13">
        <v>0</v>
      </c>
      <c r="M14" s="13">
        <v>0</v>
      </c>
      <c r="N14" s="13">
        <v>3056</v>
      </c>
      <c r="Q14" s="4">
        <v>1295</v>
      </c>
      <c r="R14" s="4">
        <f>N14-Q14</f>
        <v>1761</v>
      </c>
      <c r="X14" s="4">
        <f>R14+SUM(S14:W14)</f>
        <v>1761</v>
      </c>
    </row>
    <row r="15" spans="1:25">
      <c r="A15" s="15" t="s">
        <v>94</v>
      </c>
      <c r="B15" s="13">
        <v>11.5</v>
      </c>
      <c r="C15" s="13">
        <v>11.5</v>
      </c>
      <c r="D15" s="13">
        <v>11.5</v>
      </c>
      <c r="E15" s="13">
        <v>251.5</v>
      </c>
      <c r="F15" s="13">
        <v>11.5</v>
      </c>
      <c r="G15" s="13">
        <v>251.5</v>
      </c>
      <c r="H15" s="13">
        <v>11.5</v>
      </c>
      <c r="I15" s="13">
        <v>11.5</v>
      </c>
      <c r="J15" s="13">
        <v>251.5</v>
      </c>
      <c r="K15" s="13">
        <v>11.5</v>
      </c>
      <c r="L15" s="13">
        <v>11.5</v>
      </c>
      <c r="M15" s="13">
        <v>11.5</v>
      </c>
      <c r="N15" s="13">
        <v>858</v>
      </c>
      <c r="Q15" s="4">
        <f>SUM(Q16:Q17)</f>
        <v>1121.8699999999999</v>
      </c>
      <c r="R15" s="4">
        <f>N15-Q15</f>
        <v>-263.86999999999989</v>
      </c>
      <c r="X15" s="4">
        <f>R15+SUM(S15:W15)</f>
        <v>-263.86999999999989</v>
      </c>
    </row>
    <row r="16" spans="1:25" s="19" customFormat="1">
      <c r="A16" s="20" t="s">
        <v>95</v>
      </c>
      <c r="B16" s="32">
        <v>11.5</v>
      </c>
      <c r="C16" s="32">
        <v>11.5</v>
      </c>
      <c r="D16" s="32">
        <v>11.5</v>
      </c>
      <c r="E16" s="32">
        <v>11.5</v>
      </c>
      <c r="F16" s="32">
        <v>11.5</v>
      </c>
      <c r="G16" s="32">
        <v>11.5</v>
      </c>
      <c r="H16" s="32">
        <v>11.5</v>
      </c>
      <c r="I16" s="32">
        <v>11.5</v>
      </c>
      <c r="J16" s="32">
        <v>11.5</v>
      </c>
      <c r="K16" s="32">
        <v>11.5</v>
      </c>
      <c r="L16" s="32">
        <v>11.5</v>
      </c>
      <c r="M16" s="32">
        <v>11.5</v>
      </c>
      <c r="N16" s="33">
        <v>138</v>
      </c>
      <c r="Q16" s="74">
        <v>156.62</v>
      </c>
      <c r="R16" s="74">
        <f>N16-Q16</f>
        <v>-18.620000000000005</v>
      </c>
      <c r="S16" s="75"/>
      <c r="T16" s="75"/>
      <c r="U16" s="75"/>
      <c r="V16" s="75"/>
      <c r="W16" s="75"/>
      <c r="X16" s="75"/>
      <c r="Y16" s="75"/>
    </row>
    <row r="17" spans="1:25" s="19" customFormat="1">
      <c r="A17" s="22" t="s">
        <v>96</v>
      </c>
      <c r="B17" s="34">
        <v>0</v>
      </c>
      <c r="C17" s="34">
        <v>0</v>
      </c>
      <c r="D17" s="34">
        <v>0</v>
      </c>
      <c r="E17" s="34">
        <v>240</v>
      </c>
      <c r="F17" s="34">
        <v>0</v>
      </c>
      <c r="G17" s="34">
        <v>240</v>
      </c>
      <c r="H17" s="34">
        <v>0</v>
      </c>
      <c r="I17" s="34">
        <v>0</v>
      </c>
      <c r="J17" s="34">
        <v>240</v>
      </c>
      <c r="K17" s="34">
        <v>0</v>
      </c>
      <c r="L17" s="34">
        <v>0</v>
      </c>
      <c r="M17" s="34">
        <v>0</v>
      </c>
      <c r="N17" s="35">
        <v>720</v>
      </c>
      <c r="Q17" s="76">
        <v>965.25</v>
      </c>
      <c r="R17" s="76">
        <f>N17-Q17</f>
        <v>-245.25</v>
      </c>
      <c r="S17" s="75"/>
      <c r="T17" s="75"/>
      <c r="U17" s="75"/>
      <c r="V17" s="75"/>
      <c r="W17" s="75"/>
      <c r="X17" s="75"/>
      <c r="Y17" s="75"/>
    </row>
    <row r="18" spans="1:25" s="19" customFormat="1" ht="7.5" customHeight="1">
      <c r="A18" s="38"/>
      <c r="B18" s="36"/>
      <c r="C18" s="36"/>
      <c r="D18" s="36"/>
      <c r="E18" s="36"/>
      <c r="F18" s="36"/>
      <c r="G18" s="36"/>
      <c r="H18" s="36"/>
      <c r="I18" s="36"/>
      <c r="J18" s="36"/>
      <c r="K18" s="36"/>
      <c r="L18" s="36"/>
      <c r="M18" s="36"/>
      <c r="N18" s="36"/>
      <c r="Q18" s="75"/>
      <c r="R18" s="75"/>
      <c r="S18" s="75"/>
      <c r="T18" s="75"/>
      <c r="U18" s="75"/>
      <c r="V18" s="75"/>
      <c r="W18" s="75"/>
      <c r="X18" s="75"/>
      <c r="Y18" s="75"/>
    </row>
    <row r="19" spans="1:25">
      <c r="A19" s="15" t="s">
        <v>97</v>
      </c>
      <c r="B19" s="13">
        <v>0</v>
      </c>
      <c r="C19" s="13">
        <v>0</v>
      </c>
      <c r="D19" s="13">
        <v>0</v>
      </c>
      <c r="E19" s="13">
        <v>0</v>
      </c>
      <c r="F19" s="13">
        <v>0</v>
      </c>
      <c r="G19" s="13">
        <v>0</v>
      </c>
      <c r="H19" s="13">
        <v>0</v>
      </c>
      <c r="I19" s="13">
        <v>0</v>
      </c>
      <c r="J19" s="13">
        <v>0</v>
      </c>
      <c r="K19" s="13">
        <v>0</v>
      </c>
      <c r="L19" s="13">
        <v>0</v>
      </c>
      <c r="M19" s="13">
        <v>0</v>
      </c>
      <c r="N19" s="13">
        <v>0</v>
      </c>
      <c r="R19" s="4">
        <f t="shared" ref="R19:R28" si="1">N19-Q19</f>
        <v>0</v>
      </c>
      <c r="X19" s="4">
        <f>R19+SUM(S19:W19)</f>
        <v>0</v>
      </c>
    </row>
    <row r="20" spans="1:25">
      <c r="A20" s="15" t="s">
        <v>98</v>
      </c>
      <c r="B20" s="13">
        <v>0</v>
      </c>
      <c r="C20" s="13">
        <v>0</v>
      </c>
      <c r="D20" s="13">
        <v>0</v>
      </c>
      <c r="E20" s="13">
        <v>0</v>
      </c>
      <c r="F20" s="13">
        <v>0</v>
      </c>
      <c r="G20" s="13">
        <v>0</v>
      </c>
      <c r="H20" s="13">
        <v>0</v>
      </c>
      <c r="I20" s="13">
        <v>0</v>
      </c>
      <c r="J20" s="13">
        <v>0</v>
      </c>
      <c r="K20" s="13">
        <v>0</v>
      </c>
      <c r="L20" s="13">
        <v>0</v>
      </c>
      <c r="M20" s="13">
        <v>0</v>
      </c>
      <c r="N20" s="13">
        <v>0</v>
      </c>
      <c r="Q20" s="4">
        <v>118.5</v>
      </c>
      <c r="R20" s="4">
        <f t="shared" si="1"/>
        <v>-118.5</v>
      </c>
      <c r="X20" s="4">
        <f>R20+SUM(S20:W20)</f>
        <v>-118.5</v>
      </c>
    </row>
    <row r="21" spans="1:25">
      <c r="A21" s="15" t="s">
        <v>99</v>
      </c>
      <c r="B21" s="13">
        <v>6223.68</v>
      </c>
      <c r="C21" s="13">
        <v>6205.93</v>
      </c>
      <c r="D21" s="13">
        <v>6205.93</v>
      </c>
      <c r="E21" s="13">
        <v>6428.0900000000011</v>
      </c>
      <c r="F21" s="13">
        <v>6428.2699999999995</v>
      </c>
      <c r="G21" s="13">
        <v>6428.07</v>
      </c>
      <c r="H21" s="13">
        <v>6428.0700000000006</v>
      </c>
      <c r="I21" s="13">
        <v>2970.3199999999997</v>
      </c>
      <c r="J21" s="13">
        <v>9885.82</v>
      </c>
      <c r="K21" s="13">
        <v>6428.0700000000006</v>
      </c>
      <c r="L21" s="13">
        <v>6428.07</v>
      </c>
      <c r="M21" s="13">
        <v>6427.84</v>
      </c>
      <c r="N21" s="13">
        <v>76488.159999999989</v>
      </c>
      <c r="Q21" s="4">
        <f>SUM(Q22:Q28)</f>
        <v>30785.93</v>
      </c>
      <c r="R21" s="4">
        <f t="shared" si="1"/>
        <v>45702.229999999989</v>
      </c>
      <c r="X21" s="4">
        <f>R21+SUM(S21:W21)</f>
        <v>45702.229999999989</v>
      </c>
    </row>
    <row r="22" spans="1:25" s="19" customFormat="1">
      <c r="A22" s="20" t="s">
        <v>100</v>
      </c>
      <c r="B22" s="32">
        <v>0</v>
      </c>
      <c r="C22" s="32">
        <v>0</v>
      </c>
      <c r="D22" s="32">
        <v>0</v>
      </c>
      <c r="E22" s="32">
        <v>0</v>
      </c>
      <c r="F22" s="32">
        <v>0</v>
      </c>
      <c r="G22" s="32">
        <v>0</v>
      </c>
      <c r="H22" s="32">
        <v>0</v>
      </c>
      <c r="I22" s="32">
        <v>0</v>
      </c>
      <c r="J22" s="32">
        <v>0</v>
      </c>
      <c r="K22" s="32">
        <v>0</v>
      </c>
      <c r="L22" s="32">
        <v>0</v>
      </c>
      <c r="M22" s="32">
        <v>0</v>
      </c>
      <c r="N22" s="33">
        <v>0</v>
      </c>
      <c r="Q22" s="74">
        <v>892.48</v>
      </c>
      <c r="R22" s="74">
        <f t="shared" si="1"/>
        <v>-892.48</v>
      </c>
      <c r="S22" s="75"/>
      <c r="T22" s="75"/>
      <c r="U22" s="75"/>
      <c r="V22" s="75"/>
      <c r="W22" s="75"/>
      <c r="X22" s="75"/>
      <c r="Y22" s="75"/>
    </row>
    <row r="23" spans="1:25" s="19" customFormat="1">
      <c r="A23" s="24" t="s">
        <v>101</v>
      </c>
      <c r="B23" s="36">
        <v>573.91999999999996</v>
      </c>
      <c r="C23" s="36">
        <v>574.12</v>
      </c>
      <c r="D23" s="36">
        <v>327.60000000000002</v>
      </c>
      <c r="E23" s="36">
        <v>524.20000000000005</v>
      </c>
      <c r="F23" s="36">
        <v>524.20000000000005</v>
      </c>
      <c r="G23" s="36">
        <v>524.20000000000005</v>
      </c>
      <c r="H23" s="36">
        <v>524.20000000000005</v>
      </c>
      <c r="I23" s="36">
        <v>0</v>
      </c>
      <c r="J23" s="36">
        <v>1048.2</v>
      </c>
      <c r="K23" s="36">
        <v>524.20000000000005</v>
      </c>
      <c r="L23" s="36">
        <v>524.20000000000005</v>
      </c>
      <c r="M23" s="36">
        <v>524.20000000000005</v>
      </c>
      <c r="N23" s="37">
        <v>6193.2399999999989</v>
      </c>
      <c r="Q23" s="75">
        <v>2419.4299999999998</v>
      </c>
      <c r="R23" s="75">
        <f t="shared" si="1"/>
        <v>3773.809999999999</v>
      </c>
      <c r="S23" s="75"/>
      <c r="T23" s="75"/>
      <c r="U23" s="75"/>
      <c r="V23" s="75"/>
      <c r="W23" s="75"/>
      <c r="X23" s="75"/>
      <c r="Y23" s="75"/>
    </row>
    <row r="24" spans="1:25" s="19" customFormat="1">
      <c r="A24" s="24" t="s">
        <v>102</v>
      </c>
      <c r="B24" s="36">
        <v>392.83</v>
      </c>
      <c r="C24" s="36">
        <v>351.47</v>
      </c>
      <c r="D24" s="36">
        <v>351.47</v>
      </c>
      <c r="E24" s="36">
        <v>351.47</v>
      </c>
      <c r="F24" s="36">
        <v>351.47</v>
      </c>
      <c r="G24" s="36">
        <v>351.47</v>
      </c>
      <c r="H24" s="36">
        <v>351.47</v>
      </c>
      <c r="I24" s="36">
        <v>351.47</v>
      </c>
      <c r="J24" s="36">
        <v>351.47</v>
      </c>
      <c r="K24" s="36">
        <v>351.47</v>
      </c>
      <c r="L24" s="36">
        <v>1590.75</v>
      </c>
      <c r="M24" s="36">
        <v>351.47</v>
      </c>
      <c r="N24" s="37">
        <v>5498.2800000000016</v>
      </c>
      <c r="Q24" s="75"/>
      <c r="R24" s="75"/>
      <c r="S24" s="75"/>
      <c r="T24" s="75"/>
      <c r="U24" s="75"/>
      <c r="V24" s="75"/>
      <c r="W24" s="75"/>
      <c r="X24" s="75"/>
      <c r="Y24" s="75"/>
    </row>
    <row r="25" spans="1:25" s="19" customFormat="1">
      <c r="A25" s="24" t="s">
        <v>103</v>
      </c>
      <c r="B25" s="36">
        <v>0</v>
      </c>
      <c r="C25" s="36">
        <v>0</v>
      </c>
      <c r="D25" s="36">
        <v>0</v>
      </c>
      <c r="E25" s="36">
        <v>0</v>
      </c>
      <c r="F25" s="36">
        <v>0</v>
      </c>
      <c r="G25" s="36">
        <v>0</v>
      </c>
      <c r="H25" s="36">
        <v>0</v>
      </c>
      <c r="I25" s="36">
        <v>0</v>
      </c>
      <c r="J25" s="36">
        <v>0</v>
      </c>
      <c r="K25" s="36">
        <v>0</v>
      </c>
      <c r="L25" s="36">
        <v>0</v>
      </c>
      <c r="M25" s="36">
        <v>0</v>
      </c>
      <c r="N25" s="37">
        <v>0</v>
      </c>
      <c r="Q25" s="75">
        <v>2359.61</v>
      </c>
      <c r="R25" s="75">
        <f t="shared" si="1"/>
        <v>-2359.61</v>
      </c>
      <c r="S25" s="75"/>
      <c r="T25" s="75"/>
      <c r="U25" s="75"/>
      <c r="V25" s="75"/>
      <c r="W25" s="75"/>
      <c r="X25" s="75"/>
      <c r="Y25" s="75"/>
    </row>
    <row r="26" spans="1:25" s="19" customFormat="1">
      <c r="A26" s="24" t="s">
        <v>104</v>
      </c>
      <c r="B26" s="36">
        <v>1379.15</v>
      </c>
      <c r="C26" s="36">
        <v>1379.35</v>
      </c>
      <c r="D26" s="36">
        <v>1379.15</v>
      </c>
      <c r="E26" s="36">
        <v>1379.79</v>
      </c>
      <c r="F26" s="36">
        <v>1379.79</v>
      </c>
      <c r="G26" s="36">
        <v>1379.58</v>
      </c>
      <c r="H26" s="36">
        <v>1379.59</v>
      </c>
      <c r="I26" s="36">
        <v>1379.58</v>
      </c>
      <c r="J26" s="36">
        <v>1379.59</v>
      </c>
      <c r="K26" s="36">
        <v>1379.59</v>
      </c>
      <c r="L26" s="36">
        <v>1379.58</v>
      </c>
      <c r="M26" s="36">
        <v>1379.59</v>
      </c>
      <c r="N26" s="37">
        <v>16554.329999999998</v>
      </c>
      <c r="Q26" s="75">
        <v>4981.28</v>
      </c>
      <c r="R26" s="75">
        <f t="shared" si="1"/>
        <v>11573.05</v>
      </c>
      <c r="S26" s="75"/>
      <c r="T26" s="75"/>
      <c r="U26" s="75"/>
      <c r="V26" s="75"/>
      <c r="W26" s="75"/>
      <c r="X26" s="75"/>
      <c r="Y26" s="75"/>
    </row>
    <row r="27" spans="1:25" s="19" customFormat="1">
      <c r="A27" s="24" t="s">
        <v>105</v>
      </c>
      <c r="B27" s="36">
        <v>1987.22</v>
      </c>
      <c r="C27" s="36">
        <v>1987.2</v>
      </c>
      <c r="D27" s="36">
        <v>1987.41</v>
      </c>
      <c r="E27" s="36">
        <v>1988.65</v>
      </c>
      <c r="F27" s="36">
        <v>1988.41</v>
      </c>
      <c r="G27" s="36">
        <v>1988.62</v>
      </c>
      <c r="H27" s="36">
        <v>1988.41</v>
      </c>
      <c r="I27" s="36">
        <v>0</v>
      </c>
      <c r="J27" s="36">
        <v>3977.02</v>
      </c>
      <c r="K27" s="36">
        <v>1988.63</v>
      </c>
      <c r="L27" s="36">
        <v>1988.41</v>
      </c>
      <c r="M27" s="36">
        <v>1988.4</v>
      </c>
      <c r="N27" s="37">
        <v>23858.38</v>
      </c>
      <c r="Q27" s="75">
        <v>14133.23</v>
      </c>
      <c r="R27" s="75">
        <f t="shared" si="1"/>
        <v>9725.1500000000015</v>
      </c>
      <c r="S27" s="75"/>
      <c r="T27" s="75"/>
      <c r="U27" s="75"/>
      <c r="V27" s="75"/>
      <c r="W27" s="75"/>
      <c r="X27" s="75"/>
      <c r="Y27" s="75"/>
    </row>
    <row r="28" spans="1:25" s="19" customFormat="1">
      <c r="A28" s="24" t="s">
        <v>106</v>
      </c>
      <c r="B28" s="36">
        <v>969.06</v>
      </c>
      <c r="C28" s="36">
        <v>968.66</v>
      </c>
      <c r="D28" s="36">
        <v>1215.17</v>
      </c>
      <c r="E28" s="36">
        <v>1238.8499999999999</v>
      </c>
      <c r="F28" s="36">
        <v>1239.27</v>
      </c>
      <c r="G28" s="36">
        <v>1239.07</v>
      </c>
      <c r="H28" s="36">
        <v>1239.27</v>
      </c>
      <c r="I28" s="36">
        <v>1239.27</v>
      </c>
      <c r="J28" s="36">
        <v>1239.28</v>
      </c>
      <c r="K28" s="36">
        <v>1239.05</v>
      </c>
      <c r="L28" s="36">
        <v>0</v>
      </c>
      <c r="M28" s="36">
        <v>1239.05</v>
      </c>
      <c r="N28" s="37">
        <v>13066</v>
      </c>
      <c r="Q28" s="76">
        <v>5999.9</v>
      </c>
      <c r="R28" s="76">
        <f t="shared" si="1"/>
        <v>7066.1</v>
      </c>
      <c r="S28" s="75"/>
      <c r="T28" s="75"/>
      <c r="U28" s="75"/>
      <c r="V28" s="75"/>
      <c r="W28" s="75"/>
      <c r="X28" s="75"/>
      <c r="Y28" s="75"/>
    </row>
    <row r="29" spans="1:25" s="19" customFormat="1">
      <c r="A29" s="24" t="s">
        <v>107</v>
      </c>
      <c r="B29" s="36">
        <v>0</v>
      </c>
      <c r="C29" s="36">
        <v>0</v>
      </c>
      <c r="D29" s="36">
        <v>0</v>
      </c>
      <c r="E29" s="36">
        <v>0</v>
      </c>
      <c r="F29" s="36">
        <v>0</v>
      </c>
      <c r="G29" s="36">
        <v>0</v>
      </c>
      <c r="H29" s="36">
        <v>0</v>
      </c>
      <c r="I29" s="36">
        <v>0</v>
      </c>
      <c r="J29" s="36">
        <v>0</v>
      </c>
      <c r="K29" s="36">
        <v>0</v>
      </c>
      <c r="L29" s="36">
        <v>0</v>
      </c>
      <c r="M29" s="36">
        <v>0</v>
      </c>
      <c r="N29" s="37">
        <v>0</v>
      </c>
      <c r="Q29" s="75"/>
      <c r="R29" s="75"/>
      <c r="S29" s="75"/>
      <c r="T29" s="75"/>
      <c r="U29" s="75"/>
      <c r="V29" s="75"/>
      <c r="W29" s="75"/>
      <c r="X29" s="75"/>
      <c r="Y29" s="75"/>
    </row>
    <row r="30" spans="1:25" s="19" customFormat="1">
      <c r="A30" s="24" t="s">
        <v>108</v>
      </c>
      <c r="B30" s="36">
        <v>0</v>
      </c>
      <c r="C30" s="36">
        <v>0</v>
      </c>
      <c r="D30" s="36">
        <v>0</v>
      </c>
      <c r="E30" s="36">
        <v>0</v>
      </c>
      <c r="F30" s="36">
        <v>0</v>
      </c>
      <c r="G30" s="36">
        <v>0</v>
      </c>
      <c r="H30" s="36">
        <v>0</v>
      </c>
      <c r="I30" s="36">
        <v>0</v>
      </c>
      <c r="J30" s="36">
        <v>0</v>
      </c>
      <c r="K30" s="36">
        <v>0</v>
      </c>
      <c r="L30" s="36">
        <v>0</v>
      </c>
      <c r="M30" s="36">
        <v>0</v>
      </c>
      <c r="N30" s="37">
        <v>0</v>
      </c>
      <c r="Q30" s="75"/>
      <c r="R30" s="75"/>
      <c r="S30" s="75"/>
      <c r="T30" s="75"/>
      <c r="U30" s="75"/>
      <c r="V30" s="75"/>
      <c r="W30" s="75"/>
      <c r="X30" s="75"/>
      <c r="Y30" s="75"/>
    </row>
    <row r="31" spans="1:25" s="19" customFormat="1">
      <c r="A31" s="22" t="s">
        <v>383</v>
      </c>
      <c r="B31" s="36">
        <v>921.5</v>
      </c>
      <c r="C31" s="36">
        <v>945.13</v>
      </c>
      <c r="D31" s="36">
        <v>945.13</v>
      </c>
      <c r="E31" s="36">
        <v>945.13</v>
      </c>
      <c r="F31" s="36">
        <v>945.13</v>
      </c>
      <c r="G31" s="36">
        <v>945.13</v>
      </c>
      <c r="H31" s="36">
        <v>945.13</v>
      </c>
      <c r="I31" s="36">
        <v>0</v>
      </c>
      <c r="J31" s="36">
        <v>1890.26</v>
      </c>
      <c r="K31" s="36">
        <v>945.13</v>
      </c>
      <c r="L31" s="36">
        <v>945.13</v>
      </c>
      <c r="M31" s="36">
        <v>945.13</v>
      </c>
      <c r="N31" s="37">
        <v>11317.929999999998</v>
      </c>
      <c r="Q31" s="75"/>
      <c r="R31" s="75"/>
      <c r="S31" s="75"/>
      <c r="T31" s="75"/>
      <c r="U31" s="75"/>
      <c r="V31" s="75"/>
      <c r="W31" s="75"/>
      <c r="X31" s="75"/>
      <c r="Y31" s="75"/>
    </row>
    <row r="32" spans="1:25" s="19" customFormat="1" ht="11.45" customHeight="1">
      <c r="A32" s="38"/>
      <c r="B32" s="36"/>
      <c r="C32" s="36"/>
      <c r="D32" s="36"/>
      <c r="E32" s="36"/>
      <c r="F32" s="36"/>
      <c r="G32" s="36"/>
      <c r="H32" s="36"/>
      <c r="I32" s="36"/>
      <c r="J32" s="36"/>
      <c r="K32" s="36"/>
      <c r="L32" s="36"/>
      <c r="M32" s="36"/>
      <c r="N32" s="36"/>
      <c r="Q32" s="75"/>
      <c r="R32" s="75"/>
      <c r="S32" s="75"/>
      <c r="T32" s="75"/>
      <c r="U32" s="75"/>
      <c r="V32" s="75"/>
      <c r="W32" s="75"/>
      <c r="X32" s="75"/>
      <c r="Y32" s="75"/>
    </row>
    <row r="33" spans="1:25">
      <c r="A33" s="15" t="s">
        <v>110</v>
      </c>
      <c r="B33" s="13">
        <v>443.89</v>
      </c>
      <c r="C33" s="13">
        <v>1904.24</v>
      </c>
      <c r="D33" s="13">
        <v>964.77</v>
      </c>
      <c r="E33" s="13">
        <v>178.64</v>
      </c>
      <c r="F33" s="13">
        <v>30.61</v>
      </c>
      <c r="G33" s="13">
        <v>944.71</v>
      </c>
      <c r="H33" s="13">
        <v>2553</v>
      </c>
      <c r="I33" s="13">
        <v>14272.8</v>
      </c>
      <c r="J33" s="13">
        <v>505.26</v>
      </c>
      <c r="K33" s="13">
        <v>901.39</v>
      </c>
      <c r="L33" s="13">
        <v>912.24</v>
      </c>
      <c r="M33" s="13">
        <v>-2378.8000000000002</v>
      </c>
      <c r="N33" s="37">
        <v>21232.75</v>
      </c>
      <c r="Q33" s="4">
        <f>SUM(Q34:Q35)</f>
        <v>1858.66</v>
      </c>
      <c r="R33" s="4">
        <f>N33-Q33</f>
        <v>19374.09</v>
      </c>
      <c r="X33" s="4">
        <f>R33+SUM(S33:W33)</f>
        <v>19374.09</v>
      </c>
    </row>
    <row r="34" spans="1:25" s="19" customFormat="1">
      <c r="A34" s="20" t="s">
        <v>111</v>
      </c>
      <c r="B34" s="32">
        <v>443.89</v>
      </c>
      <c r="C34" s="32">
        <v>1904.24</v>
      </c>
      <c r="D34" s="32">
        <v>964.77</v>
      </c>
      <c r="E34" s="32">
        <v>178.64</v>
      </c>
      <c r="F34" s="32">
        <v>30.61</v>
      </c>
      <c r="G34" s="32">
        <v>944.71</v>
      </c>
      <c r="H34" s="32">
        <v>2553</v>
      </c>
      <c r="I34" s="32">
        <v>14272.8</v>
      </c>
      <c r="J34" s="32">
        <v>505.26</v>
      </c>
      <c r="K34" s="32">
        <v>901.39</v>
      </c>
      <c r="L34" s="32">
        <v>262.24</v>
      </c>
      <c r="M34" s="32">
        <v>-2378.8000000000002</v>
      </c>
      <c r="N34" s="37">
        <v>20582.75</v>
      </c>
      <c r="Q34" s="74">
        <v>819.74</v>
      </c>
      <c r="R34" s="74">
        <f>N34-Q34</f>
        <v>19763.009999999998</v>
      </c>
      <c r="S34" s="75"/>
      <c r="T34" s="75"/>
      <c r="U34" s="75"/>
      <c r="V34" s="75"/>
      <c r="W34" s="75"/>
      <c r="X34" s="75"/>
      <c r="Y34" s="75"/>
    </row>
    <row r="35" spans="1:25" s="19" customFormat="1">
      <c r="A35" s="22" t="s">
        <v>112</v>
      </c>
      <c r="B35" s="34">
        <v>0</v>
      </c>
      <c r="C35" s="34">
        <v>0</v>
      </c>
      <c r="D35" s="34">
        <v>0</v>
      </c>
      <c r="E35" s="34">
        <v>0</v>
      </c>
      <c r="F35" s="34">
        <v>0</v>
      </c>
      <c r="G35" s="34">
        <v>0</v>
      </c>
      <c r="H35" s="34">
        <v>0</v>
      </c>
      <c r="I35" s="34">
        <v>0</v>
      </c>
      <c r="J35" s="34">
        <v>0</v>
      </c>
      <c r="K35" s="34">
        <v>0</v>
      </c>
      <c r="L35" s="34">
        <v>650</v>
      </c>
      <c r="M35" s="34">
        <v>0</v>
      </c>
      <c r="N35" s="37">
        <v>650</v>
      </c>
      <c r="Q35" s="76">
        <v>1038.92</v>
      </c>
      <c r="R35" s="76">
        <f>N35-Q35</f>
        <v>-388.92000000000007</v>
      </c>
      <c r="S35" s="75"/>
      <c r="T35" s="75"/>
      <c r="U35" s="75"/>
      <c r="V35" s="75"/>
      <c r="W35" s="75"/>
      <c r="X35" s="75"/>
      <c r="Y35" s="75"/>
    </row>
    <row r="36" spans="1:25" s="19" customFormat="1" ht="12.75" customHeight="1">
      <c r="A36" s="38"/>
      <c r="B36" s="36"/>
      <c r="C36" s="36"/>
      <c r="D36" s="36"/>
      <c r="E36" s="36"/>
      <c r="F36" s="36"/>
      <c r="G36" s="36"/>
      <c r="H36" s="36"/>
      <c r="I36" s="36"/>
      <c r="J36" s="36"/>
      <c r="K36" s="36"/>
      <c r="L36" s="36"/>
      <c r="M36" s="36"/>
      <c r="N36" s="36"/>
      <c r="Q36" s="75"/>
      <c r="R36" s="75"/>
      <c r="S36" s="75"/>
      <c r="T36" s="75"/>
      <c r="U36" s="75"/>
      <c r="V36" s="75"/>
      <c r="W36" s="75"/>
      <c r="X36" s="75"/>
      <c r="Y36" s="75"/>
    </row>
    <row r="37" spans="1:25">
      <c r="A37" s="15" t="s">
        <v>113</v>
      </c>
      <c r="B37" s="13">
        <v>364</v>
      </c>
      <c r="C37" s="13">
        <v>0</v>
      </c>
      <c r="D37" s="13">
        <v>0</v>
      </c>
      <c r="E37" s="13">
        <v>402.31</v>
      </c>
      <c r="F37" s="13">
        <v>400</v>
      </c>
      <c r="G37" s="13">
        <v>400</v>
      </c>
      <c r="H37" s="13">
        <v>400</v>
      </c>
      <c r="I37" s="13">
        <v>400</v>
      </c>
      <c r="J37" s="13">
        <v>400</v>
      </c>
      <c r="K37" s="13">
        <v>400</v>
      </c>
      <c r="L37" s="13">
        <v>400</v>
      </c>
      <c r="M37" s="13">
        <v>400</v>
      </c>
      <c r="N37" s="13">
        <v>3966.31</v>
      </c>
      <c r="Q37" s="4">
        <v>2315.77</v>
      </c>
      <c r="R37" s="4">
        <f>N37-Q37</f>
        <v>1650.54</v>
      </c>
      <c r="X37" s="4">
        <f>R37+SUM(S37:W37)</f>
        <v>1650.54</v>
      </c>
    </row>
    <row r="38" spans="1:25">
      <c r="A38" s="15" t="s">
        <v>114</v>
      </c>
      <c r="B38" s="13">
        <v>2305.91</v>
      </c>
      <c r="C38" s="13">
        <v>1801.58</v>
      </c>
      <c r="D38" s="13">
        <v>1845.5700000000002</v>
      </c>
      <c r="E38" s="13">
        <v>538.16</v>
      </c>
      <c r="F38" s="13">
        <v>967.64</v>
      </c>
      <c r="G38" s="13">
        <v>894.46</v>
      </c>
      <c r="H38" s="13">
        <v>1675.6599999999999</v>
      </c>
      <c r="I38" s="13">
        <v>1602.77</v>
      </c>
      <c r="J38" s="13">
        <v>1129.6199999999999</v>
      </c>
      <c r="K38" s="13">
        <v>1226.6199999999999</v>
      </c>
      <c r="L38" s="13">
        <v>1757.79</v>
      </c>
      <c r="M38" s="13">
        <v>1780.5</v>
      </c>
      <c r="N38" s="13">
        <v>17526.28</v>
      </c>
      <c r="Q38" s="4">
        <f>SUM(Q39:Q41)</f>
        <v>10309.720000000001</v>
      </c>
      <c r="R38" s="4">
        <f>N38-Q38</f>
        <v>7216.5599999999977</v>
      </c>
      <c r="X38" s="4">
        <f>R38+SUM(S38:W38)</f>
        <v>7216.5599999999977</v>
      </c>
    </row>
    <row r="39" spans="1:25" s="19" customFormat="1">
      <c r="A39" s="20" t="s">
        <v>115</v>
      </c>
      <c r="B39" s="32">
        <v>1767.75</v>
      </c>
      <c r="C39" s="32">
        <v>1263.42</v>
      </c>
      <c r="D39" s="32">
        <v>1307.4100000000001</v>
      </c>
      <c r="E39" s="32">
        <v>0</v>
      </c>
      <c r="F39" s="32">
        <v>429.48</v>
      </c>
      <c r="G39" s="32">
        <v>356.3</v>
      </c>
      <c r="H39" s="32">
        <v>1137.5</v>
      </c>
      <c r="I39" s="32">
        <v>1064.6099999999999</v>
      </c>
      <c r="J39" s="32">
        <v>1129.6199999999999</v>
      </c>
      <c r="K39" s="32">
        <v>1226.6199999999999</v>
      </c>
      <c r="L39" s="32">
        <v>1165.68</v>
      </c>
      <c r="M39" s="32">
        <v>1188.3699999999999</v>
      </c>
      <c r="N39" s="33">
        <v>12036.759999999998</v>
      </c>
      <c r="Q39" s="74">
        <v>5809.63</v>
      </c>
      <c r="R39" s="74">
        <f>N39-Q39</f>
        <v>6227.1299999999983</v>
      </c>
      <c r="S39" s="75"/>
      <c r="T39" s="75"/>
      <c r="U39" s="75"/>
      <c r="V39" s="75"/>
      <c r="W39" s="75"/>
      <c r="X39" s="75"/>
      <c r="Y39" s="75"/>
    </row>
    <row r="40" spans="1:25" s="19" customFormat="1">
      <c r="A40" s="24" t="s">
        <v>116</v>
      </c>
      <c r="B40" s="36">
        <v>0</v>
      </c>
      <c r="C40" s="36">
        <v>0</v>
      </c>
      <c r="D40" s="36">
        <v>0</v>
      </c>
      <c r="E40" s="36">
        <v>0</v>
      </c>
      <c r="F40" s="36">
        <v>0</v>
      </c>
      <c r="G40" s="36">
        <v>0</v>
      </c>
      <c r="H40" s="36">
        <v>0</v>
      </c>
      <c r="I40" s="36">
        <v>0</v>
      </c>
      <c r="J40" s="36">
        <v>0</v>
      </c>
      <c r="K40" s="36">
        <v>0</v>
      </c>
      <c r="L40" s="36">
        <v>0</v>
      </c>
      <c r="M40" s="36">
        <v>0</v>
      </c>
      <c r="N40" s="37">
        <v>0</v>
      </c>
      <c r="Q40" s="75"/>
      <c r="R40" s="75"/>
      <c r="S40" s="75"/>
      <c r="T40" s="75"/>
      <c r="U40" s="75"/>
      <c r="V40" s="75"/>
      <c r="W40" s="75"/>
      <c r="X40" s="75"/>
      <c r="Y40" s="75"/>
    </row>
    <row r="41" spans="1:25" s="19" customFormat="1">
      <c r="A41" s="22" t="s">
        <v>117</v>
      </c>
      <c r="B41" s="34">
        <v>538.16</v>
      </c>
      <c r="C41" s="34">
        <v>538.16</v>
      </c>
      <c r="D41" s="34">
        <v>538.16</v>
      </c>
      <c r="E41" s="34">
        <v>538.16</v>
      </c>
      <c r="F41" s="34">
        <v>538.16</v>
      </c>
      <c r="G41" s="34">
        <v>538.16</v>
      </c>
      <c r="H41" s="34">
        <v>538.16</v>
      </c>
      <c r="I41" s="34">
        <v>538.16</v>
      </c>
      <c r="J41" s="34">
        <v>0</v>
      </c>
      <c r="K41" s="34">
        <v>0</v>
      </c>
      <c r="L41" s="34">
        <v>592.11</v>
      </c>
      <c r="M41" s="34">
        <v>592.13</v>
      </c>
      <c r="N41" s="35">
        <v>5489.5199999999995</v>
      </c>
      <c r="Q41" s="76">
        <v>4500.09</v>
      </c>
      <c r="R41" s="76">
        <f>N41-Q41</f>
        <v>989.42999999999938</v>
      </c>
      <c r="S41" s="75"/>
      <c r="T41" s="75"/>
      <c r="U41" s="75"/>
      <c r="V41" s="75"/>
      <c r="W41" s="75"/>
      <c r="X41" s="75"/>
      <c r="Y41" s="75"/>
    </row>
    <row r="42" spans="1:25" s="19" customFormat="1" ht="7.5" customHeight="1">
      <c r="A42" s="38"/>
      <c r="B42" s="36"/>
      <c r="C42" s="36"/>
      <c r="D42" s="36"/>
      <c r="E42" s="36"/>
      <c r="F42" s="36"/>
      <c r="G42" s="36"/>
      <c r="H42" s="36"/>
      <c r="I42" s="36"/>
      <c r="J42" s="36"/>
      <c r="K42" s="36"/>
      <c r="L42" s="36"/>
      <c r="M42" s="36"/>
      <c r="N42" s="36"/>
      <c r="Q42" s="75"/>
      <c r="R42" s="75"/>
      <c r="S42" s="75"/>
      <c r="T42" s="75"/>
      <c r="U42" s="75"/>
      <c r="V42" s="75"/>
      <c r="W42" s="75"/>
      <c r="X42" s="75"/>
      <c r="Y42" s="75"/>
    </row>
    <row r="43" spans="1:25">
      <c r="A43" s="15" t="s">
        <v>118</v>
      </c>
      <c r="B43" s="13">
        <v>189.23</v>
      </c>
      <c r="C43" s="13">
        <v>76.680000000000007</v>
      </c>
      <c r="D43" s="13">
        <v>79.72</v>
      </c>
      <c r="E43" s="13">
        <v>159.30000000000001</v>
      </c>
      <c r="F43" s="13">
        <v>69.77</v>
      </c>
      <c r="G43" s="13">
        <v>76.099999999999994</v>
      </c>
      <c r="H43" s="13">
        <v>179.72</v>
      </c>
      <c r="I43" s="13">
        <v>61.2</v>
      </c>
      <c r="J43" s="13">
        <v>58.45</v>
      </c>
      <c r="K43" s="13">
        <v>164.37</v>
      </c>
      <c r="L43" s="13">
        <v>83.84</v>
      </c>
      <c r="M43" s="13">
        <v>129.53</v>
      </c>
      <c r="N43" s="13">
        <v>1327.91</v>
      </c>
      <c r="Q43" s="4">
        <f>SUM(Q44:Q45)</f>
        <v>1740.98</v>
      </c>
      <c r="R43" s="4">
        <f>N43-Q43</f>
        <v>-413.06999999999994</v>
      </c>
      <c r="X43" s="4">
        <f>R43+SUM(S43:W43)</f>
        <v>-413.06999999999994</v>
      </c>
    </row>
    <row r="44" spans="1:25" s="19" customFormat="1">
      <c r="A44" s="20" t="s">
        <v>119</v>
      </c>
      <c r="B44" s="32">
        <v>68.02</v>
      </c>
      <c r="C44" s="32">
        <v>62.88</v>
      </c>
      <c r="D44" s="32">
        <v>58.75</v>
      </c>
      <c r="E44" s="32">
        <v>59.57</v>
      </c>
      <c r="F44" s="32">
        <v>57.78</v>
      </c>
      <c r="G44" s="32">
        <v>59.11</v>
      </c>
      <c r="H44" s="32">
        <v>66.489999999999995</v>
      </c>
      <c r="I44" s="32">
        <v>61.2</v>
      </c>
      <c r="J44" s="32">
        <v>58.45</v>
      </c>
      <c r="K44" s="32">
        <v>61.19</v>
      </c>
      <c r="L44" s="32">
        <v>62.81</v>
      </c>
      <c r="M44" s="32">
        <v>61.99</v>
      </c>
      <c r="N44" s="33">
        <v>738.24</v>
      </c>
      <c r="Q44" s="74">
        <v>885.74</v>
      </c>
      <c r="R44" s="74">
        <f>N44-Q44</f>
        <v>-147.5</v>
      </c>
      <c r="S44" s="75"/>
      <c r="T44" s="75"/>
      <c r="U44" s="75"/>
      <c r="V44" s="75"/>
      <c r="W44" s="75"/>
      <c r="X44" s="75"/>
      <c r="Y44" s="75"/>
    </row>
    <row r="45" spans="1:25" s="19" customFormat="1">
      <c r="A45" s="22" t="s">
        <v>120</v>
      </c>
      <c r="B45" s="34">
        <v>121.21</v>
      </c>
      <c r="C45" s="34">
        <v>13.8</v>
      </c>
      <c r="D45" s="34">
        <v>20.97</v>
      </c>
      <c r="E45" s="34">
        <v>99.73</v>
      </c>
      <c r="F45" s="34">
        <v>11.99</v>
      </c>
      <c r="G45" s="34">
        <v>16.989999999999998</v>
      </c>
      <c r="H45" s="34">
        <v>113.23</v>
      </c>
      <c r="I45" s="34">
        <v>0</v>
      </c>
      <c r="J45" s="34">
        <v>0</v>
      </c>
      <c r="K45" s="34">
        <v>103.18</v>
      </c>
      <c r="L45" s="34">
        <v>21.03</v>
      </c>
      <c r="M45" s="34">
        <v>67.540000000000006</v>
      </c>
      <c r="N45" s="35">
        <v>589.66999999999996</v>
      </c>
      <c r="Q45" s="76">
        <v>855.24</v>
      </c>
      <c r="R45" s="76">
        <f>N45-Q45</f>
        <v>-265.57000000000005</v>
      </c>
      <c r="S45" s="75"/>
      <c r="T45" s="75"/>
      <c r="U45" s="75"/>
      <c r="V45" s="75"/>
      <c r="W45" s="75"/>
      <c r="X45" s="75"/>
      <c r="Y45" s="75"/>
    </row>
    <row r="46" spans="1:25" s="19" customFormat="1" ht="7.5" customHeight="1">
      <c r="A46" s="38"/>
      <c r="B46" s="36"/>
      <c r="C46" s="36"/>
      <c r="D46" s="36"/>
      <c r="E46" s="36"/>
      <c r="F46" s="36"/>
      <c r="G46" s="36"/>
      <c r="H46" s="36"/>
      <c r="I46" s="36"/>
      <c r="J46" s="36"/>
      <c r="K46" s="36"/>
      <c r="L46" s="36"/>
      <c r="M46" s="36"/>
      <c r="N46" s="36"/>
      <c r="Q46" s="75"/>
      <c r="R46" s="75"/>
      <c r="S46" s="75"/>
      <c r="T46" s="75"/>
      <c r="U46" s="75"/>
      <c r="V46" s="75"/>
      <c r="W46" s="75"/>
      <c r="X46" s="75"/>
      <c r="Y46" s="75"/>
    </row>
    <row r="47" spans="1:25">
      <c r="A47" s="15" t="s">
        <v>121</v>
      </c>
      <c r="B47" s="13">
        <v>-72.45</v>
      </c>
      <c r="C47" s="13">
        <v>-918.36</v>
      </c>
      <c r="D47" s="13">
        <v>3099.8</v>
      </c>
      <c r="E47" s="13">
        <v>301.12</v>
      </c>
      <c r="F47" s="13">
        <v>410.07</v>
      </c>
      <c r="G47" s="13">
        <v>326.18</v>
      </c>
      <c r="H47" s="13">
        <v>24.68</v>
      </c>
      <c r="I47" s="13">
        <v>523.85</v>
      </c>
      <c r="J47" s="13">
        <v>-107.02</v>
      </c>
      <c r="K47" s="13">
        <v>352.6</v>
      </c>
      <c r="L47" s="13">
        <v>-230.52</v>
      </c>
      <c r="M47" s="13">
        <v>-412.67</v>
      </c>
      <c r="N47" s="13">
        <v>3297.2799999999997</v>
      </c>
      <c r="Q47" s="4">
        <v>3020</v>
      </c>
      <c r="R47" s="4">
        <f>N47-Q47</f>
        <v>277.27999999999975</v>
      </c>
      <c r="S47" s="4">
        <v>250</v>
      </c>
      <c r="X47" s="4">
        <f t="shared" ref="X47:X51" si="2">R47+SUM(S47:W47)</f>
        <v>527.27999999999975</v>
      </c>
    </row>
    <row r="48" spans="1:25">
      <c r="A48" s="15" t="s">
        <v>122</v>
      </c>
      <c r="B48" s="13">
        <v>53.5</v>
      </c>
      <c r="C48" s="13">
        <v>-465.56</v>
      </c>
      <c r="D48" s="13">
        <v>5715.82</v>
      </c>
      <c r="E48" s="13">
        <v>284.52999999999997</v>
      </c>
      <c r="F48" s="13">
        <v>492</v>
      </c>
      <c r="G48" s="13">
        <v>234.61</v>
      </c>
      <c r="H48" s="13">
        <v>280.5</v>
      </c>
      <c r="I48" s="13">
        <v>164.5</v>
      </c>
      <c r="J48" s="13">
        <v>34.5</v>
      </c>
      <c r="K48" s="13">
        <v>657.3</v>
      </c>
      <c r="L48" s="13">
        <v>1303.97</v>
      </c>
      <c r="M48" s="13">
        <v>34.5</v>
      </c>
      <c r="N48" s="13">
        <v>8790.1699999999983</v>
      </c>
      <c r="Q48" s="4">
        <f>SUM(Q49:Q51)</f>
        <v>1061.9299999999998</v>
      </c>
      <c r="R48" s="4">
        <f>N48-Q48</f>
        <v>7728.239999999998</v>
      </c>
      <c r="S48" s="4">
        <f>SUM(S49:S51)</f>
        <v>0</v>
      </c>
      <c r="T48" s="4">
        <f>SUM(T49:T51)</f>
        <v>0</v>
      </c>
      <c r="U48" s="4">
        <f>SUM(U49:U51)</f>
        <v>0</v>
      </c>
      <c r="V48" s="4">
        <f>SUM(V49:V51)</f>
        <v>0</v>
      </c>
      <c r="W48" s="4">
        <f>SUM(W49:W51)</f>
        <v>0</v>
      </c>
      <c r="X48" s="4">
        <f t="shared" si="2"/>
        <v>7728.239999999998</v>
      </c>
    </row>
    <row r="49" spans="1:25" s="19" customFormat="1">
      <c r="A49" s="20" t="s">
        <v>123</v>
      </c>
      <c r="B49" s="32">
        <v>0</v>
      </c>
      <c r="C49" s="32">
        <v>0</v>
      </c>
      <c r="D49" s="32">
        <v>0</v>
      </c>
      <c r="E49" s="32">
        <v>0</v>
      </c>
      <c r="F49" s="32">
        <v>0</v>
      </c>
      <c r="G49" s="32">
        <v>0</v>
      </c>
      <c r="H49" s="32">
        <v>246</v>
      </c>
      <c r="I49" s="32">
        <v>0</v>
      </c>
      <c r="J49" s="32">
        <v>0</v>
      </c>
      <c r="K49" s="32">
        <v>0</v>
      </c>
      <c r="L49" s="32">
        <v>0</v>
      </c>
      <c r="M49" s="32">
        <v>0</v>
      </c>
      <c r="N49" s="33">
        <v>246</v>
      </c>
      <c r="Q49" s="74">
        <v>60</v>
      </c>
      <c r="R49" s="74">
        <f>N49-Q49</f>
        <v>186</v>
      </c>
      <c r="S49" s="74"/>
      <c r="T49" s="74"/>
      <c r="U49" s="74"/>
      <c r="V49" s="74"/>
      <c r="W49" s="74"/>
      <c r="X49" s="74">
        <f t="shared" si="2"/>
        <v>186</v>
      </c>
      <c r="Y49" s="75"/>
    </row>
    <row r="50" spans="1:25" s="19" customFormat="1">
      <c r="A50" s="24" t="s">
        <v>124</v>
      </c>
      <c r="B50" s="36">
        <v>0</v>
      </c>
      <c r="C50" s="36">
        <v>0</v>
      </c>
      <c r="D50" s="36">
        <v>1284.44</v>
      </c>
      <c r="E50" s="36">
        <v>0</v>
      </c>
      <c r="F50" s="36">
        <v>0</v>
      </c>
      <c r="G50" s="36">
        <v>0</v>
      </c>
      <c r="H50" s="36">
        <v>0</v>
      </c>
      <c r="I50" s="36">
        <v>0</v>
      </c>
      <c r="J50" s="36">
        <v>0</v>
      </c>
      <c r="K50" s="36">
        <v>0</v>
      </c>
      <c r="L50" s="36">
        <v>205.5</v>
      </c>
      <c r="M50" s="36">
        <v>0</v>
      </c>
      <c r="N50" s="37">
        <v>1489.94</v>
      </c>
      <c r="Q50" s="75">
        <v>652.92999999999995</v>
      </c>
      <c r="R50" s="75">
        <f>N50-Q50</f>
        <v>837.0100000000001</v>
      </c>
      <c r="S50" s="75"/>
      <c r="T50" s="75"/>
      <c r="U50" s="75"/>
      <c r="V50" s="75"/>
      <c r="W50" s="75"/>
      <c r="X50" s="75">
        <f t="shared" si="2"/>
        <v>837.0100000000001</v>
      </c>
      <c r="Y50" s="75"/>
    </row>
    <row r="51" spans="1:25" s="19" customFormat="1">
      <c r="A51" s="22" t="s">
        <v>125</v>
      </c>
      <c r="B51" s="34">
        <v>53.5</v>
      </c>
      <c r="C51" s="34">
        <v>-465.56</v>
      </c>
      <c r="D51" s="34">
        <v>4431.38</v>
      </c>
      <c r="E51" s="34">
        <v>284.52999999999997</v>
      </c>
      <c r="F51" s="34">
        <v>492</v>
      </c>
      <c r="G51" s="34">
        <v>234.61</v>
      </c>
      <c r="H51" s="34">
        <v>34.5</v>
      </c>
      <c r="I51" s="34">
        <v>164.5</v>
      </c>
      <c r="J51" s="34">
        <v>34.5</v>
      </c>
      <c r="K51" s="34">
        <v>657.3</v>
      </c>
      <c r="L51" s="34">
        <v>1098.47</v>
      </c>
      <c r="M51" s="34">
        <v>34.5</v>
      </c>
      <c r="N51" s="35">
        <v>7054.2300000000005</v>
      </c>
      <c r="Q51" s="76">
        <v>349</v>
      </c>
      <c r="R51" s="76">
        <f>N51-Q51</f>
        <v>6705.2300000000005</v>
      </c>
      <c r="S51" s="76"/>
      <c r="T51" s="76"/>
      <c r="U51" s="76"/>
      <c r="V51" s="76"/>
      <c r="W51" s="76"/>
      <c r="X51" s="76">
        <f t="shared" si="2"/>
        <v>6705.2300000000005</v>
      </c>
      <c r="Y51" s="75"/>
    </row>
    <row r="52" spans="1:25" s="19" customFormat="1" ht="16.899999999999999" customHeight="1">
      <c r="A52" s="38"/>
      <c r="B52" s="36"/>
      <c r="C52" s="36"/>
      <c r="D52" s="36"/>
      <c r="E52" s="36"/>
      <c r="F52" s="36"/>
      <c r="G52" s="36"/>
      <c r="H52" s="36"/>
      <c r="I52" s="36"/>
      <c r="J52" s="36"/>
      <c r="K52" s="36"/>
      <c r="L52" s="36"/>
      <c r="M52" s="36"/>
      <c r="N52" s="36"/>
      <c r="Q52" s="75"/>
      <c r="R52" s="75"/>
      <c r="S52" s="75"/>
      <c r="T52" s="75"/>
      <c r="U52" s="75"/>
      <c r="V52" s="75"/>
      <c r="W52" s="75"/>
      <c r="X52" s="75"/>
      <c r="Y52" s="75"/>
    </row>
    <row r="53" spans="1:25">
      <c r="A53" s="15" t="s">
        <v>126</v>
      </c>
      <c r="B53" s="13">
        <v>296.88</v>
      </c>
      <c r="C53" s="13">
        <v>284.51</v>
      </c>
      <c r="D53" s="13">
        <v>792.15000000000009</v>
      </c>
      <c r="E53" s="13">
        <v>922.55</v>
      </c>
      <c r="F53" s="13">
        <v>1503.13</v>
      </c>
      <c r="G53" s="13">
        <v>1124.51</v>
      </c>
      <c r="H53" s="13">
        <v>942.48</v>
      </c>
      <c r="I53" s="13">
        <v>897.03</v>
      </c>
      <c r="J53" s="13">
        <v>1473.26</v>
      </c>
      <c r="K53" s="13">
        <v>794.29</v>
      </c>
      <c r="L53" s="13">
        <v>1134.23</v>
      </c>
      <c r="M53" s="13">
        <v>398.14999999999952</v>
      </c>
      <c r="N53" s="13">
        <v>10563.17</v>
      </c>
      <c r="Q53" s="4">
        <f t="shared" ref="Q53:W53" si="3">SUM(Q54:Q58)</f>
        <v>8249.58</v>
      </c>
      <c r="R53" s="4">
        <f t="shared" si="3"/>
        <v>1713.5899999999995</v>
      </c>
      <c r="S53" s="4">
        <f t="shared" si="3"/>
        <v>0</v>
      </c>
      <c r="T53" s="4">
        <f t="shared" si="3"/>
        <v>0</v>
      </c>
      <c r="U53" s="4">
        <f t="shared" si="3"/>
        <v>0</v>
      </c>
      <c r="V53" s="4">
        <f t="shared" si="3"/>
        <v>0</v>
      </c>
      <c r="W53" s="4">
        <f t="shared" si="3"/>
        <v>0</v>
      </c>
      <c r="X53" s="4">
        <f t="shared" ref="X53:X58" si="4">R53+SUM(S53:W53)</f>
        <v>1713.5899999999995</v>
      </c>
    </row>
    <row r="54" spans="1:25" s="19" customFormat="1">
      <c r="A54" s="20" t="s">
        <v>127</v>
      </c>
      <c r="B54" s="32">
        <v>0</v>
      </c>
      <c r="C54" s="32">
        <v>0</v>
      </c>
      <c r="D54" s="32">
        <v>0</v>
      </c>
      <c r="E54" s="32">
        <v>0</v>
      </c>
      <c r="F54" s="32">
        <v>300</v>
      </c>
      <c r="G54" s="32">
        <v>0</v>
      </c>
      <c r="H54" s="32">
        <v>0</v>
      </c>
      <c r="I54" s="32">
        <v>0</v>
      </c>
      <c r="J54" s="32">
        <v>0</v>
      </c>
      <c r="K54" s="32">
        <v>0</v>
      </c>
      <c r="L54" s="32">
        <v>0</v>
      </c>
      <c r="M54" s="32">
        <v>300</v>
      </c>
      <c r="N54" s="33">
        <v>600</v>
      </c>
      <c r="Q54" s="74"/>
      <c r="R54" s="74"/>
      <c r="S54" s="74"/>
      <c r="T54" s="74"/>
      <c r="U54" s="74"/>
      <c r="V54" s="74"/>
      <c r="W54" s="74"/>
      <c r="X54" s="74">
        <f t="shared" si="4"/>
        <v>0</v>
      </c>
      <c r="Y54" s="75"/>
    </row>
    <row r="55" spans="1:25" s="19" customFormat="1">
      <c r="A55" s="24" t="s">
        <v>128</v>
      </c>
      <c r="B55" s="36">
        <v>158.27000000000001</v>
      </c>
      <c r="C55" s="36">
        <v>229.77</v>
      </c>
      <c r="D55" s="36">
        <v>152.33000000000001</v>
      </c>
      <c r="E55" s="36">
        <v>178.55</v>
      </c>
      <c r="F55" s="36">
        <v>248.13</v>
      </c>
      <c r="G55" s="36">
        <v>101.49</v>
      </c>
      <c r="H55" s="36">
        <v>34.479999999999997</v>
      </c>
      <c r="I55" s="36">
        <v>191.39</v>
      </c>
      <c r="J55" s="36">
        <v>416.88</v>
      </c>
      <c r="K55" s="36">
        <v>327.79</v>
      </c>
      <c r="L55" s="36">
        <v>359.57</v>
      </c>
      <c r="M55" s="36">
        <v>84.08</v>
      </c>
      <c r="N55" s="37">
        <v>2482.73</v>
      </c>
      <c r="Q55" s="75">
        <v>3542.87</v>
      </c>
      <c r="R55" s="75">
        <f>N55-Q55</f>
        <v>-1060.1399999999999</v>
      </c>
      <c r="S55" s="75"/>
      <c r="T55" s="75"/>
      <c r="U55" s="75"/>
      <c r="V55" s="75"/>
      <c r="W55" s="75"/>
      <c r="X55" s="75">
        <f t="shared" si="4"/>
        <v>-1060.1399999999999</v>
      </c>
      <c r="Y55" s="75"/>
    </row>
    <row r="56" spans="1:25" s="19" customFormat="1">
      <c r="A56" s="24" t="s">
        <v>129</v>
      </c>
      <c r="B56" s="36">
        <v>120</v>
      </c>
      <c r="C56" s="36">
        <v>0</v>
      </c>
      <c r="D56" s="36">
        <v>0</v>
      </c>
      <c r="E56" s="36">
        <v>744</v>
      </c>
      <c r="F56" s="36">
        <v>955</v>
      </c>
      <c r="G56" s="36">
        <v>310</v>
      </c>
      <c r="H56" s="36">
        <v>908</v>
      </c>
      <c r="I56" s="36">
        <v>299.64</v>
      </c>
      <c r="J56" s="36">
        <v>545</v>
      </c>
      <c r="K56" s="36">
        <v>96</v>
      </c>
      <c r="L56" s="36">
        <v>620</v>
      </c>
      <c r="M56" s="36">
        <v>24.229999999999563</v>
      </c>
      <c r="N56" s="37">
        <v>4621.869999999999</v>
      </c>
      <c r="Q56" s="75">
        <v>1250</v>
      </c>
      <c r="R56" s="75">
        <f>N56-Q56</f>
        <v>3371.869999999999</v>
      </c>
      <c r="S56" s="75"/>
      <c r="T56" s="75"/>
      <c r="U56" s="75"/>
      <c r="V56" s="75"/>
      <c r="W56" s="75"/>
      <c r="X56" s="75">
        <f t="shared" si="4"/>
        <v>3371.869999999999</v>
      </c>
      <c r="Y56" s="75"/>
    </row>
    <row r="57" spans="1:25" s="19" customFormat="1">
      <c r="A57" s="24" t="s">
        <v>81</v>
      </c>
      <c r="B57" s="36">
        <v>0</v>
      </c>
      <c r="C57" s="36">
        <v>0</v>
      </c>
      <c r="D57" s="36">
        <v>0</v>
      </c>
      <c r="E57" s="36">
        <v>0</v>
      </c>
      <c r="F57" s="36">
        <v>0</v>
      </c>
      <c r="G57" s="36">
        <v>0</v>
      </c>
      <c r="H57" s="36">
        <v>0</v>
      </c>
      <c r="I57" s="36">
        <v>0</v>
      </c>
      <c r="J57" s="36">
        <v>0</v>
      </c>
      <c r="K57" s="36">
        <v>0</v>
      </c>
      <c r="L57" s="36">
        <v>0</v>
      </c>
      <c r="M57" s="36">
        <v>0</v>
      </c>
      <c r="N57" s="37">
        <v>0</v>
      </c>
      <c r="Q57" s="75">
        <v>2093.35</v>
      </c>
      <c r="R57" s="75">
        <f>N57-Q57</f>
        <v>-2093.35</v>
      </c>
      <c r="S57" s="75"/>
      <c r="T57" s="75">
        <v>215</v>
      </c>
      <c r="U57" s="75"/>
      <c r="V57" s="75"/>
      <c r="W57" s="75"/>
      <c r="X57" s="75">
        <f t="shared" si="4"/>
        <v>-1878.35</v>
      </c>
      <c r="Y57" s="75"/>
    </row>
    <row r="58" spans="1:25" s="19" customFormat="1">
      <c r="A58" s="22" t="s">
        <v>200</v>
      </c>
      <c r="B58" s="34">
        <v>18.61</v>
      </c>
      <c r="C58" s="34">
        <v>54.74</v>
      </c>
      <c r="D58" s="34">
        <v>639.82000000000005</v>
      </c>
      <c r="E58" s="34">
        <v>0</v>
      </c>
      <c r="F58" s="34">
        <v>0</v>
      </c>
      <c r="G58" s="34">
        <v>713.02</v>
      </c>
      <c r="H58" s="34">
        <v>0</v>
      </c>
      <c r="I58" s="34">
        <v>406</v>
      </c>
      <c r="J58" s="34">
        <v>511.38</v>
      </c>
      <c r="K58" s="34">
        <v>370.5</v>
      </c>
      <c r="L58" s="34">
        <v>154.66</v>
      </c>
      <c r="M58" s="34">
        <v>-10.16</v>
      </c>
      <c r="N58" s="35">
        <v>2858.57</v>
      </c>
      <c r="Q58" s="76">
        <v>1363.36</v>
      </c>
      <c r="R58" s="76">
        <f>N58-Q58</f>
        <v>1495.2100000000003</v>
      </c>
      <c r="S58" s="76"/>
      <c r="T58" s="76">
        <v>-215</v>
      </c>
      <c r="U58" s="76"/>
      <c r="V58" s="76"/>
      <c r="W58" s="76"/>
      <c r="X58" s="76">
        <f t="shared" si="4"/>
        <v>1280.2100000000003</v>
      </c>
      <c r="Y58" s="75"/>
    </row>
    <row r="59" spans="1:25" s="19" customFormat="1">
      <c r="A59" s="38"/>
      <c r="B59" s="36"/>
      <c r="C59" s="36"/>
      <c r="D59" s="36"/>
      <c r="E59" s="36"/>
      <c r="F59" s="36"/>
      <c r="G59" s="36"/>
      <c r="H59" s="36"/>
      <c r="I59" s="36"/>
      <c r="J59" s="36"/>
      <c r="K59" s="36"/>
      <c r="L59" s="36"/>
      <c r="M59" s="36"/>
      <c r="N59" s="36"/>
      <c r="Q59" s="75"/>
      <c r="R59" s="75"/>
      <c r="S59" s="75"/>
      <c r="T59" s="75"/>
      <c r="U59" s="75"/>
      <c r="V59" s="75"/>
      <c r="W59" s="75"/>
      <c r="X59" s="75"/>
      <c r="Y59" s="75"/>
    </row>
    <row r="60" spans="1:25" s="19" customFormat="1" ht="14.65" thickBot="1">
      <c r="A60" s="7" t="s">
        <v>131</v>
      </c>
      <c r="B60" s="28">
        <v>9816.14</v>
      </c>
      <c r="C60" s="28">
        <v>14885.02</v>
      </c>
      <c r="D60" s="28">
        <v>24699.760000000002</v>
      </c>
      <c r="E60" s="28">
        <v>15224.95</v>
      </c>
      <c r="F60" s="28">
        <v>19127.739999999998</v>
      </c>
      <c r="G60" s="28">
        <v>16438.89</v>
      </c>
      <c r="H60" s="28">
        <v>18254.36</v>
      </c>
      <c r="I60" s="28">
        <v>26662.720000000001</v>
      </c>
      <c r="J60" s="28">
        <v>19390.14</v>
      </c>
      <c r="K60" s="28">
        <v>16694.89</v>
      </c>
      <c r="L60" s="28">
        <v>17559.87</v>
      </c>
      <c r="M60" s="28">
        <v>6390.5499999999993</v>
      </c>
      <c r="N60" s="28">
        <v>205145.02999999997</v>
      </c>
      <c r="Q60" s="73">
        <f t="shared" ref="Q60:X60" si="5">Q53+Q48+Q47+Q43+Q38+Q37+Q33+Q21+Q20+Q19+Q15+Q14+Q13</f>
        <v>125627.94</v>
      </c>
      <c r="R60" s="73">
        <f t="shared" si="5"/>
        <v>78917.09</v>
      </c>
      <c r="S60" s="73">
        <f t="shared" si="5"/>
        <v>250</v>
      </c>
      <c r="T60" s="73">
        <f t="shared" si="5"/>
        <v>0</v>
      </c>
      <c r="U60" s="73">
        <f t="shared" si="5"/>
        <v>0</v>
      </c>
      <c r="V60" s="73">
        <f t="shared" si="5"/>
        <v>0</v>
      </c>
      <c r="W60" s="73">
        <f t="shared" si="5"/>
        <v>0</v>
      </c>
      <c r="X60" s="73">
        <f t="shared" si="5"/>
        <v>79167.09</v>
      </c>
      <c r="Y60" s="75"/>
    </row>
    <row r="61" spans="1:25" s="19" customFormat="1">
      <c r="A61" s="7"/>
      <c r="B61" s="36"/>
      <c r="C61" s="36"/>
      <c r="D61" s="36"/>
      <c r="E61" s="36"/>
      <c r="F61" s="36"/>
      <c r="G61" s="36"/>
      <c r="H61" s="36"/>
      <c r="I61" s="36"/>
      <c r="J61" s="36"/>
      <c r="K61" s="36"/>
      <c r="L61" s="36"/>
      <c r="M61" s="36"/>
      <c r="N61" s="36"/>
      <c r="Q61" s="75"/>
      <c r="R61" s="75"/>
      <c r="S61" s="75"/>
      <c r="T61" s="75"/>
      <c r="U61" s="75"/>
      <c r="V61" s="75"/>
      <c r="W61" s="75"/>
      <c r="X61" s="75"/>
      <c r="Y61" s="75"/>
    </row>
    <row r="62" spans="1:25" s="19" customFormat="1" ht="14.65" thickBot="1">
      <c r="A62" s="7" t="s">
        <v>132</v>
      </c>
      <c r="B62" s="28">
        <v>9816.14</v>
      </c>
      <c r="C62" s="28">
        <v>14885.02</v>
      </c>
      <c r="D62" s="28">
        <v>24699.760000000002</v>
      </c>
      <c r="E62" s="28">
        <v>15224.95</v>
      </c>
      <c r="F62" s="28">
        <v>19127.739999999998</v>
      </c>
      <c r="G62" s="28">
        <v>16438.89</v>
      </c>
      <c r="H62" s="28">
        <v>18254.36</v>
      </c>
      <c r="I62" s="28">
        <v>26662.720000000001</v>
      </c>
      <c r="J62" s="28">
        <v>19390.14</v>
      </c>
      <c r="K62" s="28">
        <v>16694.89</v>
      </c>
      <c r="L62" s="28">
        <v>17559.87</v>
      </c>
      <c r="M62" s="28">
        <v>6390.5499999999993</v>
      </c>
      <c r="N62" s="28">
        <v>205145.02999999997</v>
      </c>
      <c r="Q62" s="73">
        <f t="shared" ref="Q62:X62" si="6">Q60+Q10</f>
        <v>125769.35</v>
      </c>
      <c r="R62" s="73">
        <f t="shared" si="6"/>
        <v>78775.679999999993</v>
      </c>
      <c r="S62" s="73">
        <f t="shared" si="6"/>
        <v>250</v>
      </c>
      <c r="T62" s="73">
        <f t="shared" si="6"/>
        <v>0</v>
      </c>
      <c r="U62" s="73">
        <f t="shared" si="6"/>
        <v>0</v>
      </c>
      <c r="V62" s="73">
        <f t="shared" si="6"/>
        <v>0</v>
      </c>
      <c r="W62" s="73">
        <f t="shared" si="6"/>
        <v>0</v>
      </c>
      <c r="X62" s="73">
        <f t="shared" si="6"/>
        <v>79025.679999999993</v>
      </c>
      <c r="Y62" s="75"/>
    </row>
  </sheetData>
  <pageMargins left="0.70866141732283472" right="0.70866141732283472" top="0.74803149606299213" bottom="0.74803149606299213" header="0.31496062992125984" footer="0.31496062992125984"/>
  <pageSetup paperSize="9" scale="4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37792-8E29-47FD-8C71-CFFD0E679CFA}">
  <dimension ref="A1:AN36"/>
  <sheetViews>
    <sheetView zoomScale="90" zoomScaleNormal="90" workbookViewId="0">
      <pane xSplit="2" ySplit="4" topLeftCell="P5" activePane="bottomRight" state="frozen"/>
      <selection pane="bottomRight" activeCell="AC24" sqref="AC24"/>
      <selection pane="bottomLeft" activeCell="A5" sqref="A5"/>
      <selection pane="topRight" activeCell="C1" sqref="C1"/>
    </sheetView>
  </sheetViews>
  <sheetFormatPr defaultColWidth="9" defaultRowHeight="14.25"/>
  <cols>
    <col min="1" max="1" width="19.5703125" style="48" bestFit="1" customWidth="1"/>
    <col min="2" max="2" width="22" style="48" bestFit="1" customWidth="1"/>
    <col min="3" max="3" width="6.42578125" style="48" bestFit="1" customWidth="1"/>
    <col min="4" max="4" width="9" style="48" bestFit="1" customWidth="1"/>
    <col min="5" max="5" width="4.5703125" style="143" bestFit="1" customWidth="1"/>
    <col min="6" max="6" width="9" style="143"/>
    <col min="7" max="7" width="6.28515625" style="143" bestFit="1" customWidth="1"/>
    <col min="8" max="8" width="9" style="143"/>
    <col min="9" max="9" width="9" style="144"/>
    <col min="10" max="10" width="5" style="143" bestFit="1" customWidth="1"/>
    <col min="11" max="11" width="7.5703125" style="144" bestFit="1" customWidth="1"/>
    <col min="12" max="14" width="10.28515625" style="145" bestFit="1" customWidth="1"/>
    <col min="15" max="15" width="16" style="48" bestFit="1" customWidth="1"/>
    <col min="16" max="16" width="3" style="48" customWidth="1"/>
    <col min="17" max="17" width="8" style="143" bestFit="1" customWidth="1"/>
    <col min="18" max="18" width="8" style="48" bestFit="1" customWidth="1"/>
    <col min="19" max="19" width="8.5703125" style="48" bestFit="1" customWidth="1"/>
    <col min="20" max="20" width="3" style="48" customWidth="1"/>
    <col min="21" max="21" width="7.5703125" style="48" bestFit="1" customWidth="1"/>
    <col min="22" max="22" width="7.5703125" style="48" customWidth="1"/>
    <col min="23" max="23" width="4.5703125" style="48" bestFit="1" customWidth="1"/>
    <col min="24" max="24" width="9" style="48"/>
    <col min="25" max="25" width="7.5703125" style="48" bestFit="1" customWidth="1"/>
    <col min="26" max="27" width="10" style="48" bestFit="1" customWidth="1"/>
    <col min="28" max="28" width="3" style="48" customWidth="1"/>
    <col min="29" max="39" width="9" style="48"/>
    <col min="40" max="40" width="10.28515625" style="48" bestFit="1" customWidth="1"/>
    <col min="41" max="16384" width="9" style="48"/>
  </cols>
  <sheetData>
    <row r="1" spans="1:40">
      <c r="A1" s="142" t="s">
        <v>400</v>
      </c>
      <c r="B1" s="142"/>
    </row>
    <row r="2" spans="1:40">
      <c r="R2" s="146" t="s">
        <v>401</v>
      </c>
      <c r="S2" s="146" t="s">
        <v>402</v>
      </c>
    </row>
    <row r="3" spans="1:40">
      <c r="F3" s="146">
        <v>2016</v>
      </c>
      <c r="G3" s="146" t="s">
        <v>21</v>
      </c>
      <c r="H3" s="146" t="s">
        <v>403</v>
      </c>
      <c r="I3" s="146">
        <f>F3+1</f>
        <v>2017</v>
      </c>
      <c r="K3" s="147"/>
      <c r="Q3" s="146" t="s">
        <v>404</v>
      </c>
      <c r="R3" s="146" t="s">
        <v>404</v>
      </c>
      <c r="S3" s="146" t="s">
        <v>404</v>
      </c>
      <c r="U3" s="216" t="s">
        <v>405</v>
      </c>
      <c r="V3" s="216"/>
      <c r="W3" s="146" t="s">
        <v>406</v>
      </c>
      <c r="X3" s="146" t="s">
        <v>406</v>
      </c>
      <c r="Y3" s="146" t="s">
        <v>406</v>
      </c>
      <c r="Z3" s="146" t="s">
        <v>406</v>
      </c>
      <c r="AA3" s="146" t="s">
        <v>406</v>
      </c>
    </row>
    <row r="4" spans="1:40">
      <c r="A4" s="148" t="s">
        <v>407</v>
      </c>
      <c r="B4" s="148" t="s">
        <v>408</v>
      </c>
      <c r="C4" s="148" t="s">
        <v>409</v>
      </c>
      <c r="D4" s="148" t="s">
        <v>410</v>
      </c>
      <c r="E4" s="146" t="s">
        <v>411</v>
      </c>
      <c r="F4" s="147" t="s">
        <v>412</v>
      </c>
      <c r="G4" s="146" t="s">
        <v>413</v>
      </c>
      <c r="H4" s="146" t="s">
        <v>413</v>
      </c>
      <c r="I4" s="147" t="s">
        <v>412</v>
      </c>
      <c r="J4" s="146" t="s">
        <v>414</v>
      </c>
      <c r="K4" s="147" t="s">
        <v>415</v>
      </c>
      <c r="L4" s="147" t="s">
        <v>416</v>
      </c>
      <c r="M4" s="147" t="s">
        <v>401</v>
      </c>
      <c r="N4" s="147" t="s">
        <v>402</v>
      </c>
      <c r="O4" s="147" t="s">
        <v>417</v>
      </c>
      <c r="P4" s="147"/>
      <c r="Q4" s="147" t="s">
        <v>21</v>
      </c>
      <c r="R4" s="147" t="s">
        <v>418</v>
      </c>
      <c r="S4" s="147" t="s">
        <v>418</v>
      </c>
      <c r="T4" s="147"/>
      <c r="U4" s="147" t="s">
        <v>415</v>
      </c>
      <c r="V4" s="147" t="s">
        <v>416</v>
      </c>
      <c r="W4" s="147" t="s">
        <v>419</v>
      </c>
      <c r="X4" s="147" t="s">
        <v>420</v>
      </c>
      <c r="Y4" s="147" t="s">
        <v>421</v>
      </c>
      <c r="Z4" s="147" t="s">
        <v>401</v>
      </c>
      <c r="AA4" s="147" t="s">
        <v>402</v>
      </c>
      <c r="AB4" s="147"/>
      <c r="AC4" s="146" t="s">
        <v>22</v>
      </c>
      <c r="AD4" s="146" t="s">
        <v>23</v>
      </c>
      <c r="AE4" s="146" t="s">
        <v>24</v>
      </c>
      <c r="AF4" s="146" t="s">
        <v>25</v>
      </c>
      <c r="AG4" s="146" t="s">
        <v>26</v>
      </c>
      <c r="AH4" s="146" t="s">
        <v>27</v>
      </c>
      <c r="AI4" s="146" t="s">
        <v>28</v>
      </c>
      <c r="AJ4" s="146" t="s">
        <v>29</v>
      </c>
      <c r="AK4" s="146" t="s">
        <v>30</v>
      </c>
      <c r="AL4" s="146" t="s">
        <v>31</v>
      </c>
      <c r="AM4" s="146" t="s">
        <v>32</v>
      </c>
      <c r="AN4" s="146" t="s">
        <v>33</v>
      </c>
    </row>
    <row r="5" spans="1:40">
      <c r="A5" s="48" t="s">
        <v>422</v>
      </c>
      <c r="B5" s="48" t="s">
        <v>423</v>
      </c>
      <c r="C5" s="48" t="s">
        <v>424</v>
      </c>
      <c r="D5" s="48" t="s">
        <v>425</v>
      </c>
      <c r="E5" s="149"/>
      <c r="F5" s="145"/>
      <c r="G5" s="150"/>
      <c r="H5" s="144"/>
      <c r="I5" s="145">
        <v>981.83</v>
      </c>
      <c r="L5" s="145">
        <f t="shared" ref="L5:L13" si="0">M5/12</f>
        <v>981.83</v>
      </c>
      <c r="M5" s="145">
        <f>I5*12</f>
        <v>11781.960000000001</v>
      </c>
      <c r="N5" s="145">
        <f>M5/12*1</f>
        <v>981.83</v>
      </c>
      <c r="O5" s="151">
        <v>42736</v>
      </c>
      <c r="Q5" s="152">
        <v>0.01</v>
      </c>
      <c r="R5" s="145">
        <f t="shared" ref="R5:R13" si="1">ROUND(L5*Q5*12,2)</f>
        <v>117.82</v>
      </c>
      <c r="S5" s="145">
        <f>R5/12</f>
        <v>9.8183333333333334</v>
      </c>
      <c r="U5" s="145"/>
      <c r="V5" s="145">
        <f>U9*52/12</f>
        <v>676</v>
      </c>
      <c r="W5" s="48" t="str">
        <f t="shared" ref="W5:W13" si="2">IF(D5="Weekly",IF(K5&gt;U5,"Yes","No"),IF(L5&gt;V5,"Yes","No"))</f>
        <v>Yes</v>
      </c>
      <c r="X5" s="145">
        <f t="shared" ref="X5:X13" si="3">IF(W5="Yes",IF(D5="Weekly",K5-U5,L5-V5),0)</f>
        <v>305.83000000000004</v>
      </c>
      <c r="Y5" s="145">
        <f t="shared" ref="Y5:Y13" si="4">ROUND(X5*13.8%,2)</f>
        <v>42.2</v>
      </c>
      <c r="Z5" s="145">
        <f>IF(U5="",Y5*12,Y5*52)</f>
        <v>506.40000000000003</v>
      </c>
      <c r="AA5" s="145">
        <f>Z5/12*1</f>
        <v>42.2</v>
      </c>
      <c r="AC5" s="145">
        <f>L5</f>
        <v>981.83</v>
      </c>
    </row>
    <row r="6" spans="1:40">
      <c r="A6" s="48" t="s">
        <v>422</v>
      </c>
      <c r="B6" s="48" t="s">
        <v>423</v>
      </c>
      <c r="C6" s="48" t="s">
        <v>424</v>
      </c>
      <c r="D6" s="48" t="s">
        <v>425</v>
      </c>
      <c r="E6" s="149"/>
      <c r="F6" s="145"/>
      <c r="G6" s="150"/>
      <c r="H6" s="144"/>
      <c r="I6" s="145">
        <f>13322/12</f>
        <v>1110.1666666666667</v>
      </c>
      <c r="L6" s="145">
        <f t="shared" si="0"/>
        <v>1110.1666666666667</v>
      </c>
      <c r="M6" s="145">
        <f>I6*12</f>
        <v>13322</v>
      </c>
      <c r="N6" s="145">
        <f>M6/12*11</f>
        <v>12211.833333333334</v>
      </c>
      <c r="O6" s="48" t="s">
        <v>426</v>
      </c>
      <c r="Q6" s="152">
        <v>2.5000000000000001E-2</v>
      </c>
      <c r="R6" s="145">
        <f t="shared" si="1"/>
        <v>333.05</v>
      </c>
      <c r="S6" s="145">
        <f>R6/12*11</f>
        <v>305.29583333333335</v>
      </c>
      <c r="U6" s="145"/>
      <c r="V6" s="145">
        <f>U10*52/12</f>
        <v>676</v>
      </c>
      <c r="W6" s="48" t="str">
        <f t="shared" si="2"/>
        <v>Yes</v>
      </c>
      <c r="X6" s="145">
        <f t="shared" si="3"/>
        <v>434.16666666666674</v>
      </c>
      <c r="Y6" s="145">
        <f t="shared" si="4"/>
        <v>59.92</v>
      </c>
      <c r="Z6" s="145">
        <f t="shared" ref="Z6:Z13" si="5">IF(U6="",Y6*12,Y6*52)</f>
        <v>719.04</v>
      </c>
      <c r="AA6" s="145">
        <f>Z6/12*11</f>
        <v>659.11999999999989</v>
      </c>
      <c r="AD6" s="145">
        <f>L6</f>
        <v>1110.1666666666667</v>
      </c>
      <c r="AE6" s="145">
        <f>AD6</f>
        <v>1110.1666666666667</v>
      </c>
      <c r="AF6" s="145">
        <f t="shared" ref="AF6:AN6" si="6">AE6</f>
        <v>1110.1666666666667</v>
      </c>
      <c r="AG6" s="145">
        <f t="shared" si="6"/>
        <v>1110.1666666666667</v>
      </c>
      <c r="AH6" s="145">
        <f t="shared" si="6"/>
        <v>1110.1666666666667</v>
      </c>
      <c r="AI6" s="145">
        <f t="shared" si="6"/>
        <v>1110.1666666666667</v>
      </c>
      <c r="AJ6" s="145">
        <f t="shared" si="6"/>
        <v>1110.1666666666667</v>
      </c>
      <c r="AK6" s="145">
        <f t="shared" si="6"/>
        <v>1110.1666666666667</v>
      </c>
      <c r="AL6" s="145">
        <f t="shared" si="6"/>
        <v>1110.1666666666667</v>
      </c>
      <c r="AM6" s="145">
        <f t="shared" si="6"/>
        <v>1110.1666666666667</v>
      </c>
      <c r="AN6" s="145">
        <f t="shared" si="6"/>
        <v>1110.1666666666667</v>
      </c>
    </row>
    <row r="7" spans="1:40">
      <c r="A7" s="48" t="s">
        <v>427</v>
      </c>
      <c r="B7" s="48" t="s">
        <v>428</v>
      </c>
      <c r="C7" s="48" t="s">
        <v>424</v>
      </c>
      <c r="D7" s="48" t="s">
        <v>425</v>
      </c>
      <c r="E7" s="149"/>
      <c r="G7" s="150"/>
      <c r="H7" s="144"/>
      <c r="I7" s="144">
        <f>852</f>
        <v>852</v>
      </c>
      <c r="L7" s="145">
        <f t="shared" si="0"/>
        <v>852</v>
      </c>
      <c r="M7" s="145">
        <f>I7*12</f>
        <v>10224</v>
      </c>
      <c r="N7" s="145">
        <f>M7/12*8</f>
        <v>6816</v>
      </c>
      <c r="O7" s="153" t="s">
        <v>429</v>
      </c>
      <c r="Q7" s="152">
        <v>0.01</v>
      </c>
      <c r="R7" s="145">
        <f t="shared" si="1"/>
        <v>102.24</v>
      </c>
      <c r="S7" s="145">
        <f>R7/12*8</f>
        <v>68.16</v>
      </c>
      <c r="U7" s="145"/>
      <c r="V7" s="145">
        <f>U10*52/12</f>
        <v>676</v>
      </c>
      <c r="W7" s="48" t="str">
        <f t="shared" si="2"/>
        <v>Yes</v>
      </c>
      <c r="X7" s="145">
        <f t="shared" si="3"/>
        <v>176</v>
      </c>
      <c r="Y7" s="145">
        <f t="shared" si="4"/>
        <v>24.29</v>
      </c>
      <c r="Z7" s="145">
        <f t="shared" si="5"/>
        <v>291.48</v>
      </c>
      <c r="AA7" s="145">
        <f>Z7/12*3</f>
        <v>72.87</v>
      </c>
      <c r="AC7" s="145">
        <f>L7</f>
        <v>852</v>
      </c>
      <c r="AD7" s="145">
        <f>AC7</f>
        <v>852</v>
      </c>
      <c r="AE7" s="145">
        <f>AD7</f>
        <v>852</v>
      </c>
      <c r="AF7" s="145">
        <f t="shared" ref="AF7:AK7" si="7">AE7</f>
        <v>852</v>
      </c>
      <c r="AG7" s="145">
        <f t="shared" si="7"/>
        <v>852</v>
      </c>
      <c r="AH7" s="145">
        <f t="shared" si="7"/>
        <v>852</v>
      </c>
      <c r="AI7" s="145">
        <f t="shared" si="7"/>
        <v>852</v>
      </c>
      <c r="AJ7" s="145">
        <f t="shared" si="7"/>
        <v>852</v>
      </c>
      <c r="AK7" s="145">
        <f t="shared" si="7"/>
        <v>852</v>
      </c>
    </row>
    <row r="8" spans="1:40">
      <c r="A8" s="48" t="s">
        <v>427</v>
      </c>
      <c r="B8" s="48" t="s">
        <v>428</v>
      </c>
      <c r="C8" s="48" t="s">
        <v>424</v>
      </c>
      <c r="D8" s="48" t="s">
        <v>425</v>
      </c>
      <c r="E8" s="149"/>
      <c r="G8" s="150"/>
      <c r="H8" s="144"/>
      <c r="I8" s="144">
        <f>I6</f>
        <v>1110.1666666666667</v>
      </c>
      <c r="L8" s="145">
        <f t="shared" si="0"/>
        <v>1110.1666666666667</v>
      </c>
      <c r="M8" s="145">
        <f>I8*12</f>
        <v>13322</v>
      </c>
      <c r="N8" s="145">
        <f>M8/12*4</f>
        <v>4440.666666666667</v>
      </c>
      <c r="O8" s="153" t="s">
        <v>430</v>
      </c>
      <c r="Q8" s="152">
        <v>2.5000000000000001E-2</v>
      </c>
      <c r="R8" s="145">
        <f t="shared" si="1"/>
        <v>333.05</v>
      </c>
      <c r="S8" s="145">
        <f>R8/12*4</f>
        <v>111.01666666666667</v>
      </c>
      <c r="U8" s="145"/>
      <c r="V8" s="145">
        <f>U12*52/12</f>
        <v>676</v>
      </c>
      <c r="W8" s="48" t="str">
        <f t="shared" si="2"/>
        <v>Yes</v>
      </c>
      <c r="X8" s="145">
        <f t="shared" si="3"/>
        <v>434.16666666666674</v>
      </c>
      <c r="Y8" s="145">
        <f t="shared" si="4"/>
        <v>59.92</v>
      </c>
      <c r="Z8" s="145">
        <f t="shared" si="5"/>
        <v>719.04</v>
      </c>
      <c r="AA8" s="145">
        <f>Z8/12*9</f>
        <v>539.28</v>
      </c>
      <c r="AF8" s="145"/>
      <c r="AG8" s="145"/>
      <c r="AH8" s="145"/>
      <c r="AI8" s="145"/>
      <c r="AJ8" s="145"/>
      <c r="AK8" s="145"/>
      <c r="AL8" s="145">
        <f>L8</f>
        <v>1110.1666666666667</v>
      </c>
      <c r="AM8" s="145">
        <f>AL8</f>
        <v>1110.1666666666667</v>
      </c>
      <c r="AN8" s="145">
        <f>AM8</f>
        <v>1110.1666666666667</v>
      </c>
    </row>
    <row r="9" spans="1:40">
      <c r="A9" s="48" t="s">
        <v>431</v>
      </c>
      <c r="B9" s="48" t="s">
        <v>432</v>
      </c>
      <c r="C9" s="48" t="s">
        <v>424</v>
      </c>
      <c r="D9" s="48" t="s">
        <v>433</v>
      </c>
      <c r="E9" s="143">
        <v>20</v>
      </c>
      <c r="F9" s="144"/>
      <c r="G9" s="150"/>
      <c r="H9" s="144"/>
      <c r="I9" s="144">
        <v>8.83</v>
      </c>
      <c r="J9" s="143">
        <v>52</v>
      </c>
      <c r="K9" s="144">
        <f>E9*I9</f>
        <v>176.6</v>
      </c>
      <c r="L9" s="145">
        <f t="shared" si="0"/>
        <v>765.26666666666654</v>
      </c>
      <c r="M9" s="145">
        <f>K9*J9</f>
        <v>9183.1999999999989</v>
      </c>
      <c r="N9" s="145">
        <f>M9</f>
        <v>9183.1999999999989</v>
      </c>
      <c r="Q9" s="152">
        <v>0.01</v>
      </c>
      <c r="R9" s="145">
        <f t="shared" si="1"/>
        <v>91.83</v>
      </c>
      <c r="S9" s="145">
        <f>R9</f>
        <v>91.83</v>
      </c>
      <c r="U9" s="145">
        <v>156</v>
      </c>
      <c r="V9" s="145"/>
      <c r="W9" s="48" t="str">
        <f t="shared" si="2"/>
        <v>Yes</v>
      </c>
      <c r="X9" s="145">
        <f t="shared" si="3"/>
        <v>20.599999999999994</v>
      </c>
      <c r="Y9" s="145">
        <f t="shared" si="4"/>
        <v>2.84</v>
      </c>
      <c r="Z9" s="145">
        <f t="shared" si="5"/>
        <v>147.68</v>
      </c>
      <c r="AA9" s="145">
        <f>Z9</f>
        <v>147.68</v>
      </c>
      <c r="AC9" s="145">
        <f>$L$9</f>
        <v>765.26666666666654</v>
      </c>
      <c r="AD9" s="145">
        <f t="shared" ref="AD9:AN9" si="8">$L$9</f>
        <v>765.26666666666654</v>
      </c>
      <c r="AE9" s="145">
        <f t="shared" si="8"/>
        <v>765.26666666666654</v>
      </c>
      <c r="AF9" s="145">
        <f t="shared" si="8"/>
        <v>765.26666666666654</v>
      </c>
      <c r="AG9" s="145">
        <f t="shared" si="8"/>
        <v>765.26666666666654</v>
      </c>
      <c r="AH9" s="145">
        <f t="shared" si="8"/>
        <v>765.26666666666654</v>
      </c>
      <c r="AI9" s="145">
        <f t="shared" si="8"/>
        <v>765.26666666666654</v>
      </c>
      <c r="AJ9" s="145">
        <f t="shared" si="8"/>
        <v>765.26666666666654</v>
      </c>
      <c r="AK9" s="145">
        <f t="shared" si="8"/>
        <v>765.26666666666654</v>
      </c>
      <c r="AL9" s="145">
        <f t="shared" si="8"/>
        <v>765.26666666666654</v>
      </c>
      <c r="AM9" s="145">
        <f t="shared" si="8"/>
        <v>765.26666666666654</v>
      </c>
      <c r="AN9" s="145">
        <f t="shared" si="8"/>
        <v>765.26666666666654</v>
      </c>
    </row>
    <row r="10" spans="1:40">
      <c r="A10" s="48" t="s">
        <v>434</v>
      </c>
      <c r="B10" s="48" t="s">
        <v>435</v>
      </c>
      <c r="C10" s="48" t="s">
        <v>424</v>
      </c>
      <c r="D10" s="48" t="s">
        <v>433</v>
      </c>
      <c r="E10" s="143">
        <v>3</v>
      </c>
      <c r="F10" s="144"/>
      <c r="G10" s="150"/>
      <c r="H10" s="144"/>
      <c r="I10" s="144">
        <v>8.83</v>
      </c>
      <c r="J10" s="143">
        <v>52</v>
      </c>
      <c r="K10" s="144">
        <f>E10*I10</f>
        <v>26.490000000000002</v>
      </c>
      <c r="L10" s="145">
        <f t="shared" si="0"/>
        <v>114.79</v>
      </c>
      <c r="M10" s="145">
        <f>K10*J10</f>
        <v>1377.48</v>
      </c>
      <c r="N10" s="145">
        <f>M10</f>
        <v>1377.48</v>
      </c>
      <c r="Q10" s="152">
        <v>0</v>
      </c>
      <c r="R10" s="145">
        <f t="shared" si="1"/>
        <v>0</v>
      </c>
      <c r="S10" s="145">
        <f>R10</f>
        <v>0</v>
      </c>
      <c r="U10" s="145">
        <f>U9</f>
        <v>156</v>
      </c>
      <c r="V10" s="145"/>
      <c r="W10" s="48" t="str">
        <f t="shared" si="2"/>
        <v>No</v>
      </c>
      <c r="X10" s="145">
        <f t="shared" si="3"/>
        <v>0</v>
      </c>
      <c r="Y10" s="145">
        <f t="shared" si="4"/>
        <v>0</v>
      </c>
      <c r="Z10" s="145">
        <f t="shared" si="5"/>
        <v>0</v>
      </c>
      <c r="AA10" s="145">
        <f>Z10</f>
        <v>0</v>
      </c>
      <c r="AC10" s="145">
        <f>$L$10</f>
        <v>114.79</v>
      </c>
      <c r="AD10" s="145">
        <f t="shared" ref="AD10:AN11" si="9">$L$10</f>
        <v>114.79</v>
      </c>
      <c r="AE10" s="145">
        <f t="shared" si="9"/>
        <v>114.79</v>
      </c>
      <c r="AF10" s="145">
        <f t="shared" si="9"/>
        <v>114.79</v>
      </c>
      <c r="AG10" s="145">
        <f t="shared" si="9"/>
        <v>114.79</v>
      </c>
      <c r="AH10" s="145"/>
      <c r="AI10" s="145"/>
      <c r="AJ10" s="145"/>
      <c r="AK10" s="145"/>
      <c r="AL10" s="145"/>
      <c r="AM10" s="145"/>
      <c r="AN10" s="145"/>
    </row>
    <row r="11" spans="1:40">
      <c r="A11" s="48" t="s">
        <v>436</v>
      </c>
      <c r="B11" s="48" t="s">
        <v>435</v>
      </c>
      <c r="C11" s="48" t="s">
        <v>424</v>
      </c>
      <c r="D11" s="48" t="s">
        <v>433</v>
      </c>
      <c r="E11" s="143">
        <v>3</v>
      </c>
      <c r="F11" s="144"/>
      <c r="G11" s="150"/>
      <c r="H11" s="144"/>
      <c r="I11" s="144">
        <v>8.83</v>
      </c>
      <c r="J11" s="143">
        <v>52</v>
      </c>
      <c r="K11" s="144">
        <f>E11*I11</f>
        <v>26.490000000000002</v>
      </c>
      <c r="L11" s="145">
        <f>M11/12</f>
        <v>114.79</v>
      </c>
      <c r="M11" s="145">
        <f>K11*J11</f>
        <v>1377.48</v>
      </c>
      <c r="N11" s="145">
        <f>M11</f>
        <v>1377.48</v>
      </c>
      <c r="Q11" s="152">
        <v>0</v>
      </c>
      <c r="R11" s="145">
        <f>ROUND(L11*Q11*12,2)</f>
        <v>0</v>
      </c>
      <c r="S11" s="145">
        <f>R11</f>
        <v>0</v>
      </c>
      <c r="U11" s="145">
        <f>U10</f>
        <v>156</v>
      </c>
      <c r="V11" s="145"/>
      <c r="W11" s="48" t="str">
        <f>IF(D11="Weekly",IF(K11&gt;U11,"Yes","No"),IF(L11&gt;V11,"Yes","No"))</f>
        <v>No</v>
      </c>
      <c r="X11" s="145">
        <f>IF(W11="Yes",IF(D11="Weekly",K11-U11,L11-V11),0)</f>
        <v>0</v>
      </c>
      <c r="Y11" s="145">
        <f t="shared" si="4"/>
        <v>0</v>
      </c>
      <c r="Z11" s="145">
        <f>IF(U11="",Y11*12,Y11*52)</f>
        <v>0</v>
      </c>
      <c r="AA11" s="145">
        <f>Z11</f>
        <v>0</v>
      </c>
      <c r="AC11" s="145"/>
      <c r="AD11" s="145"/>
      <c r="AE11" s="145"/>
      <c r="AF11" s="145"/>
      <c r="AG11" s="145"/>
      <c r="AH11" s="145">
        <f t="shared" si="9"/>
        <v>114.79</v>
      </c>
      <c r="AI11" s="145">
        <f t="shared" si="9"/>
        <v>114.79</v>
      </c>
      <c r="AJ11" s="145">
        <f t="shared" si="9"/>
        <v>114.79</v>
      </c>
      <c r="AK11" s="145">
        <f t="shared" si="9"/>
        <v>114.79</v>
      </c>
      <c r="AL11" s="145">
        <f t="shared" si="9"/>
        <v>114.79</v>
      </c>
      <c r="AM11" s="145">
        <f t="shared" si="9"/>
        <v>114.79</v>
      </c>
      <c r="AN11" s="145">
        <f t="shared" si="9"/>
        <v>114.79</v>
      </c>
    </row>
    <row r="12" spans="1:40">
      <c r="A12" s="48" t="s">
        <v>437</v>
      </c>
      <c r="B12" s="48" t="s">
        <v>108</v>
      </c>
      <c r="C12" s="48" t="s">
        <v>424</v>
      </c>
      <c r="D12" s="48" t="s">
        <v>433</v>
      </c>
      <c r="E12" s="143">
        <v>3</v>
      </c>
      <c r="F12" s="144"/>
      <c r="G12" s="150"/>
      <c r="H12" s="144"/>
      <c r="I12" s="144">
        <v>8.83</v>
      </c>
      <c r="J12" s="143">
        <v>52</v>
      </c>
      <c r="K12" s="144">
        <f>E12*I12</f>
        <v>26.490000000000002</v>
      </c>
      <c r="L12" s="145">
        <f t="shared" si="0"/>
        <v>114.79</v>
      </c>
      <c r="M12" s="145">
        <f>K12*J12</f>
        <v>1377.48</v>
      </c>
      <c r="N12" s="145">
        <f>M12</f>
        <v>1377.48</v>
      </c>
      <c r="Q12" s="152">
        <v>0</v>
      </c>
      <c r="R12" s="145">
        <f t="shared" si="1"/>
        <v>0</v>
      </c>
      <c r="S12" s="145">
        <f>R12</f>
        <v>0</v>
      </c>
      <c r="U12" s="145">
        <f>U10</f>
        <v>156</v>
      </c>
      <c r="V12" s="145"/>
      <c r="W12" s="48" t="str">
        <f t="shared" si="2"/>
        <v>No</v>
      </c>
      <c r="X12" s="145">
        <f t="shared" si="3"/>
        <v>0</v>
      </c>
      <c r="Y12" s="145">
        <f t="shared" si="4"/>
        <v>0</v>
      </c>
      <c r="Z12" s="145">
        <f t="shared" si="5"/>
        <v>0</v>
      </c>
      <c r="AA12" s="145">
        <f>Z12</f>
        <v>0</v>
      </c>
      <c r="AC12" s="145">
        <f>$L$12</f>
        <v>114.79</v>
      </c>
      <c r="AD12" s="145">
        <f t="shared" ref="AD12:AN12" si="10">$L$12</f>
        <v>114.79</v>
      </c>
      <c r="AE12" s="145">
        <f t="shared" si="10"/>
        <v>114.79</v>
      </c>
      <c r="AF12" s="145">
        <f t="shared" si="10"/>
        <v>114.79</v>
      </c>
      <c r="AG12" s="145">
        <f t="shared" si="10"/>
        <v>114.79</v>
      </c>
      <c r="AH12" s="145">
        <f t="shared" si="10"/>
        <v>114.79</v>
      </c>
      <c r="AI12" s="145">
        <f t="shared" si="10"/>
        <v>114.79</v>
      </c>
      <c r="AJ12" s="145">
        <f t="shared" si="10"/>
        <v>114.79</v>
      </c>
      <c r="AK12" s="145">
        <f t="shared" si="10"/>
        <v>114.79</v>
      </c>
      <c r="AL12" s="145">
        <f t="shared" si="10"/>
        <v>114.79</v>
      </c>
      <c r="AM12" s="145">
        <f t="shared" si="10"/>
        <v>114.79</v>
      </c>
      <c r="AN12" s="145">
        <f t="shared" si="10"/>
        <v>114.79</v>
      </c>
    </row>
    <row r="13" spans="1:40">
      <c r="A13" s="48" t="s">
        <v>438</v>
      </c>
      <c r="B13" s="48" t="s">
        <v>439</v>
      </c>
      <c r="C13" s="48" t="s">
        <v>424</v>
      </c>
      <c r="D13" s="48" t="s">
        <v>433</v>
      </c>
      <c r="E13" s="143">
        <v>12</v>
      </c>
      <c r="F13" s="144"/>
      <c r="G13" s="150"/>
      <c r="H13" s="144"/>
      <c r="I13" s="144">
        <v>8.25</v>
      </c>
      <c r="J13" s="143">
        <v>52</v>
      </c>
      <c r="K13" s="144">
        <f>E13*I13</f>
        <v>99</v>
      </c>
      <c r="L13" s="145">
        <f t="shared" si="0"/>
        <v>429</v>
      </c>
      <c r="M13" s="145">
        <f>K13*J13</f>
        <v>5148</v>
      </c>
      <c r="N13" s="145">
        <f>M13</f>
        <v>5148</v>
      </c>
      <c r="O13" s="48" t="s">
        <v>440</v>
      </c>
      <c r="Q13" s="152">
        <v>0</v>
      </c>
      <c r="R13" s="145">
        <f t="shared" si="1"/>
        <v>0</v>
      </c>
      <c r="S13" s="145">
        <f>R13</f>
        <v>0</v>
      </c>
      <c r="U13" s="145">
        <f>U12</f>
        <v>156</v>
      </c>
      <c r="V13" s="145"/>
      <c r="W13" s="48" t="str">
        <f t="shared" si="2"/>
        <v>No</v>
      </c>
      <c r="X13" s="145">
        <f t="shared" si="3"/>
        <v>0</v>
      </c>
      <c r="Y13" s="145">
        <f t="shared" si="4"/>
        <v>0</v>
      </c>
      <c r="Z13" s="145">
        <f t="shared" si="5"/>
        <v>0</v>
      </c>
      <c r="AA13" s="145">
        <f>Z13</f>
        <v>0</v>
      </c>
      <c r="AC13" s="145">
        <f>$L$13</f>
        <v>429</v>
      </c>
      <c r="AD13" s="145">
        <f t="shared" ref="AD13:AN13" si="11">$L$13</f>
        <v>429</v>
      </c>
      <c r="AE13" s="145">
        <f t="shared" si="11"/>
        <v>429</v>
      </c>
      <c r="AF13" s="145">
        <f t="shared" si="11"/>
        <v>429</v>
      </c>
      <c r="AG13" s="145">
        <f t="shared" si="11"/>
        <v>429</v>
      </c>
      <c r="AH13" s="145">
        <f t="shared" si="11"/>
        <v>429</v>
      </c>
      <c r="AI13" s="145">
        <f t="shared" si="11"/>
        <v>429</v>
      </c>
      <c r="AJ13" s="145">
        <f t="shared" si="11"/>
        <v>429</v>
      </c>
      <c r="AK13" s="145">
        <f t="shared" si="11"/>
        <v>429</v>
      </c>
      <c r="AL13" s="145">
        <f t="shared" si="11"/>
        <v>429</v>
      </c>
      <c r="AM13" s="145">
        <f t="shared" si="11"/>
        <v>429</v>
      </c>
      <c r="AN13" s="145">
        <f t="shared" si="11"/>
        <v>429</v>
      </c>
    </row>
    <row r="14" spans="1:40">
      <c r="Q14" s="154"/>
      <c r="R14" s="145"/>
      <c r="S14" s="145"/>
      <c r="U14" s="145"/>
      <c r="V14" s="145"/>
    </row>
    <row r="15" spans="1:40">
      <c r="A15" s="48" t="s">
        <v>441</v>
      </c>
      <c r="B15" s="48" t="s">
        <v>442</v>
      </c>
      <c r="C15" s="48" t="s">
        <v>443</v>
      </c>
      <c r="D15" s="48" t="s">
        <v>425</v>
      </c>
      <c r="F15" s="144">
        <v>223.12</v>
      </c>
      <c r="G15" s="150">
        <v>0</v>
      </c>
      <c r="I15" s="144">
        <f>IF(G15="",H15,ROUND(F15*(1+G15),2))</f>
        <v>223.12</v>
      </c>
      <c r="L15" s="145">
        <f>ROUND(F15*(1+G15),2)</f>
        <v>223.12</v>
      </c>
      <c r="M15" s="145">
        <f>L15*12</f>
        <v>2677.44</v>
      </c>
      <c r="N15" s="145">
        <f>M15</f>
        <v>2677.44</v>
      </c>
      <c r="Q15" s="152">
        <v>0</v>
      </c>
      <c r="R15" s="145">
        <f>ROUND(L15*Q15*12,2)</f>
        <v>0</v>
      </c>
      <c r="S15" s="145">
        <f>R15</f>
        <v>0</v>
      </c>
      <c r="U15" s="145"/>
      <c r="V15" s="145"/>
      <c r="W15" s="48" t="s">
        <v>444</v>
      </c>
      <c r="AC15" s="145">
        <f>L15</f>
        <v>223.12</v>
      </c>
      <c r="AD15" s="145">
        <f>AC15</f>
        <v>223.12</v>
      </c>
      <c r="AE15" s="145">
        <f t="shared" ref="AE15:AN15" si="12">AD15</f>
        <v>223.12</v>
      </c>
      <c r="AF15" s="145">
        <f t="shared" si="12"/>
        <v>223.12</v>
      </c>
      <c r="AG15" s="145">
        <f t="shared" si="12"/>
        <v>223.12</v>
      </c>
      <c r="AH15" s="145">
        <f t="shared" si="12"/>
        <v>223.12</v>
      </c>
      <c r="AI15" s="145">
        <f t="shared" si="12"/>
        <v>223.12</v>
      </c>
      <c r="AJ15" s="145">
        <f t="shared" si="12"/>
        <v>223.12</v>
      </c>
      <c r="AK15" s="145">
        <f t="shared" si="12"/>
        <v>223.12</v>
      </c>
      <c r="AL15" s="145">
        <f t="shared" si="12"/>
        <v>223.12</v>
      </c>
      <c r="AM15" s="145">
        <f t="shared" si="12"/>
        <v>223.12</v>
      </c>
      <c r="AN15" s="145">
        <f t="shared" si="12"/>
        <v>223.12</v>
      </c>
    </row>
    <row r="16" spans="1:40">
      <c r="F16" s="144"/>
      <c r="G16" s="155"/>
      <c r="U16" s="145"/>
      <c r="V16" s="145"/>
    </row>
    <row r="17" spans="1:40">
      <c r="A17" s="48" t="s">
        <v>445</v>
      </c>
      <c r="F17" s="144"/>
      <c r="G17" s="155"/>
      <c r="U17" s="145"/>
      <c r="V17" s="145"/>
      <c r="Z17" s="145">
        <f>IF(SUM(Z5:Z16)&lt;2000,-SUM(Z5:Z16),-2000)</f>
        <v>-2000</v>
      </c>
      <c r="AA17" s="145">
        <f>IF(SUM(AA5:AA16)&lt;2000,-SUM(AA5:AA16),-2000)</f>
        <v>-1461.1499999999999</v>
      </c>
    </row>
    <row r="19" spans="1:40" ht="14.65" thickBot="1">
      <c r="M19" s="156">
        <f>SUM(M5:M18)</f>
        <v>69791.040000000008</v>
      </c>
      <c r="N19" s="156">
        <f>SUM(N5:N18)</f>
        <v>45591.410000000011</v>
      </c>
      <c r="R19" s="156">
        <f>SUM(R5:R18)</f>
        <v>977.99000000000012</v>
      </c>
      <c r="S19" s="156">
        <f>SUM(S5:S18)</f>
        <v>586.12083333333339</v>
      </c>
      <c r="Z19" s="156">
        <f>SUM(Z5:Z18)</f>
        <v>383.63999999999987</v>
      </c>
      <c r="AA19" s="156">
        <f>SUM(AA5:AA18)</f>
        <v>0</v>
      </c>
    </row>
    <row r="20" spans="1:40">
      <c r="M20" s="157"/>
      <c r="N20" s="157"/>
      <c r="Z20" s="157"/>
    </row>
    <row r="21" spans="1:40">
      <c r="A21" s="148" t="s">
        <v>446</v>
      </c>
      <c r="K21" s="158" t="s">
        <v>447</v>
      </c>
      <c r="M21" s="157"/>
      <c r="N21" s="157"/>
      <c r="Z21" s="157"/>
    </row>
    <row r="22" spans="1:40">
      <c r="A22" s="48" t="s">
        <v>448</v>
      </c>
      <c r="K22" s="159"/>
      <c r="L22" s="160" t="s">
        <v>449</v>
      </c>
      <c r="M22" s="160" t="s">
        <v>450</v>
      </c>
      <c r="AB22" s="38" t="s">
        <v>100</v>
      </c>
      <c r="AC22" s="145">
        <f>AC15</f>
        <v>223.12</v>
      </c>
      <c r="AD22" s="145">
        <f t="shared" ref="AD22:AN22" si="13">AD15</f>
        <v>223.12</v>
      </c>
      <c r="AE22" s="145">
        <f t="shared" si="13"/>
        <v>223.12</v>
      </c>
      <c r="AF22" s="145">
        <f t="shared" si="13"/>
        <v>223.12</v>
      </c>
      <c r="AG22" s="145">
        <f t="shared" si="13"/>
        <v>223.12</v>
      </c>
      <c r="AH22" s="145">
        <f t="shared" si="13"/>
        <v>223.12</v>
      </c>
      <c r="AI22" s="145">
        <f t="shared" si="13"/>
        <v>223.12</v>
      </c>
      <c r="AJ22" s="145">
        <f t="shared" si="13"/>
        <v>223.12</v>
      </c>
      <c r="AK22" s="145">
        <f t="shared" si="13"/>
        <v>223.12</v>
      </c>
      <c r="AL22" s="145">
        <f t="shared" si="13"/>
        <v>223.12</v>
      </c>
      <c r="AM22" s="145">
        <f t="shared" si="13"/>
        <v>223.12</v>
      </c>
      <c r="AN22" s="145">
        <f t="shared" si="13"/>
        <v>223.12</v>
      </c>
    </row>
    <row r="23" spans="1:40">
      <c r="A23" s="48" t="s">
        <v>451</v>
      </c>
      <c r="L23" s="160" t="s">
        <v>452</v>
      </c>
      <c r="M23" s="160" t="s">
        <v>452</v>
      </c>
      <c r="N23" s="160" t="s">
        <v>36</v>
      </c>
      <c r="AB23" s="38" t="s">
        <v>101</v>
      </c>
      <c r="AC23" s="145">
        <f>AC13</f>
        <v>429</v>
      </c>
      <c r="AD23" s="145">
        <f t="shared" ref="AD23:AN23" si="14">AD13</f>
        <v>429</v>
      </c>
      <c r="AE23" s="145">
        <f t="shared" si="14"/>
        <v>429</v>
      </c>
      <c r="AF23" s="145">
        <f t="shared" si="14"/>
        <v>429</v>
      </c>
      <c r="AG23" s="145">
        <f t="shared" si="14"/>
        <v>429</v>
      </c>
      <c r="AH23" s="145">
        <f t="shared" si="14"/>
        <v>429</v>
      </c>
      <c r="AI23" s="145">
        <f t="shared" si="14"/>
        <v>429</v>
      </c>
      <c r="AJ23" s="145">
        <f t="shared" si="14"/>
        <v>429</v>
      </c>
      <c r="AK23" s="145">
        <f t="shared" si="14"/>
        <v>429</v>
      </c>
      <c r="AL23" s="145">
        <f t="shared" si="14"/>
        <v>429</v>
      </c>
      <c r="AM23" s="145">
        <f t="shared" si="14"/>
        <v>429</v>
      </c>
      <c r="AN23" s="145">
        <f t="shared" si="14"/>
        <v>429</v>
      </c>
    </row>
    <row r="24" spans="1:40">
      <c r="A24" s="48" t="s">
        <v>453</v>
      </c>
      <c r="K24" s="161" t="s">
        <v>454</v>
      </c>
      <c r="L24" s="145">
        <f>M5</f>
        <v>11781.960000000001</v>
      </c>
      <c r="M24" s="145">
        <f>M6</f>
        <v>13322</v>
      </c>
      <c r="N24" s="145">
        <f>M24-L24</f>
        <v>1540.0399999999991</v>
      </c>
      <c r="AB24" s="38" t="s">
        <v>102</v>
      </c>
      <c r="AC24" s="145">
        <f>$S$19/12</f>
        <v>48.843402777777783</v>
      </c>
      <c r="AD24" s="145">
        <f t="shared" ref="AD24:AN24" si="15">$S$19/12</f>
        <v>48.843402777777783</v>
      </c>
      <c r="AE24" s="145">
        <f t="shared" si="15"/>
        <v>48.843402777777783</v>
      </c>
      <c r="AF24" s="145">
        <f t="shared" si="15"/>
        <v>48.843402777777783</v>
      </c>
      <c r="AG24" s="145">
        <f t="shared" si="15"/>
        <v>48.843402777777783</v>
      </c>
      <c r="AH24" s="145">
        <f t="shared" si="15"/>
        <v>48.843402777777783</v>
      </c>
      <c r="AI24" s="145">
        <f t="shared" si="15"/>
        <v>48.843402777777783</v>
      </c>
      <c r="AJ24" s="145">
        <f t="shared" si="15"/>
        <v>48.843402777777783</v>
      </c>
      <c r="AK24" s="145">
        <f t="shared" si="15"/>
        <v>48.843402777777783</v>
      </c>
      <c r="AL24" s="145">
        <f t="shared" si="15"/>
        <v>48.843402777777783</v>
      </c>
      <c r="AM24" s="145">
        <f t="shared" si="15"/>
        <v>48.843402777777783</v>
      </c>
      <c r="AN24" s="145">
        <f t="shared" si="15"/>
        <v>48.843402777777783</v>
      </c>
    </row>
    <row r="25" spans="1:40">
      <c r="A25" s="48" t="s">
        <v>455</v>
      </c>
      <c r="K25" s="161" t="s">
        <v>404</v>
      </c>
      <c r="L25" s="145">
        <f>L24*1%</f>
        <v>117.81960000000001</v>
      </c>
      <c r="M25" s="145">
        <f>M24*2.5%</f>
        <v>333.05</v>
      </c>
      <c r="N25" s="145">
        <f>M25-L25</f>
        <v>215.2304</v>
      </c>
      <c r="AB25" s="38" t="s">
        <v>103</v>
      </c>
    </row>
    <row r="26" spans="1:40">
      <c r="K26" s="161" t="s">
        <v>456</v>
      </c>
      <c r="L26" s="145">
        <f>Z5</f>
        <v>506.40000000000003</v>
      </c>
      <c r="M26" s="145">
        <f>Z6</f>
        <v>719.04</v>
      </c>
      <c r="N26" s="145">
        <f>M26-L26</f>
        <v>212.63999999999993</v>
      </c>
      <c r="AB26" s="38" t="s">
        <v>104</v>
      </c>
      <c r="AC26" s="145">
        <f>AC9</f>
        <v>765.26666666666654</v>
      </c>
      <c r="AD26" s="145">
        <f t="shared" ref="AD26:AN26" si="16">AD9</f>
        <v>765.26666666666654</v>
      </c>
      <c r="AE26" s="145">
        <f t="shared" si="16"/>
        <v>765.26666666666654</v>
      </c>
      <c r="AF26" s="145">
        <f t="shared" si="16"/>
        <v>765.26666666666654</v>
      </c>
      <c r="AG26" s="145">
        <f t="shared" si="16"/>
        <v>765.26666666666654</v>
      </c>
      <c r="AH26" s="145">
        <f t="shared" si="16"/>
        <v>765.26666666666654</v>
      </c>
      <c r="AI26" s="145">
        <f t="shared" si="16"/>
        <v>765.26666666666654</v>
      </c>
      <c r="AJ26" s="145">
        <f t="shared" si="16"/>
        <v>765.26666666666654</v>
      </c>
      <c r="AK26" s="145">
        <f t="shared" si="16"/>
        <v>765.26666666666654</v>
      </c>
      <c r="AL26" s="145">
        <f t="shared" si="16"/>
        <v>765.26666666666654</v>
      </c>
      <c r="AM26" s="145">
        <f t="shared" si="16"/>
        <v>765.26666666666654</v>
      </c>
      <c r="AN26" s="145">
        <f t="shared" si="16"/>
        <v>765.26666666666654</v>
      </c>
    </row>
    <row r="27" spans="1:40">
      <c r="K27" s="162" t="s">
        <v>216</v>
      </c>
      <c r="L27" s="163">
        <f>SUM(L24:L26)</f>
        <v>12406.179600000001</v>
      </c>
      <c r="M27" s="163">
        <f>SUM(M24:M26)</f>
        <v>14374.09</v>
      </c>
      <c r="N27" s="163">
        <f>M27-L27</f>
        <v>1967.9103999999988</v>
      </c>
      <c r="AB27" s="38" t="s">
        <v>105</v>
      </c>
      <c r="AC27" s="145">
        <f>SUM(AC5:AC6)</f>
        <v>981.83</v>
      </c>
      <c r="AD27" s="145">
        <f t="shared" ref="AD27:AN27" si="17">SUM(AD5:AD6)</f>
        <v>1110.1666666666667</v>
      </c>
      <c r="AE27" s="145">
        <f t="shared" si="17"/>
        <v>1110.1666666666667</v>
      </c>
      <c r="AF27" s="145">
        <f t="shared" si="17"/>
        <v>1110.1666666666667</v>
      </c>
      <c r="AG27" s="145">
        <f t="shared" si="17"/>
        <v>1110.1666666666667</v>
      </c>
      <c r="AH27" s="145">
        <f t="shared" si="17"/>
        <v>1110.1666666666667</v>
      </c>
      <c r="AI27" s="145">
        <f t="shared" si="17"/>
        <v>1110.1666666666667</v>
      </c>
      <c r="AJ27" s="145">
        <f t="shared" si="17"/>
        <v>1110.1666666666667</v>
      </c>
      <c r="AK27" s="145">
        <f t="shared" si="17"/>
        <v>1110.1666666666667</v>
      </c>
      <c r="AL27" s="145">
        <f t="shared" si="17"/>
        <v>1110.1666666666667</v>
      </c>
      <c r="AM27" s="145">
        <f t="shared" si="17"/>
        <v>1110.1666666666667</v>
      </c>
      <c r="AN27" s="145">
        <f t="shared" si="17"/>
        <v>1110.1666666666667</v>
      </c>
    </row>
    <row r="28" spans="1:40">
      <c r="AB28" s="38" t="s">
        <v>457</v>
      </c>
      <c r="AC28" s="145">
        <f>$AA$19/12</f>
        <v>0</v>
      </c>
      <c r="AD28" s="145">
        <f t="shared" ref="AD28:AN28" si="18">$AA$19/12</f>
        <v>0</v>
      </c>
      <c r="AE28" s="145">
        <f t="shared" si="18"/>
        <v>0</v>
      </c>
      <c r="AF28" s="145">
        <f t="shared" si="18"/>
        <v>0</v>
      </c>
      <c r="AG28" s="145">
        <f t="shared" si="18"/>
        <v>0</v>
      </c>
      <c r="AH28" s="145">
        <f t="shared" si="18"/>
        <v>0</v>
      </c>
      <c r="AI28" s="145">
        <f t="shared" si="18"/>
        <v>0</v>
      </c>
      <c r="AJ28" s="145">
        <f t="shared" si="18"/>
        <v>0</v>
      </c>
      <c r="AK28" s="145">
        <f t="shared" si="18"/>
        <v>0</v>
      </c>
      <c r="AL28" s="145">
        <f t="shared" si="18"/>
        <v>0</v>
      </c>
      <c r="AM28" s="145">
        <f t="shared" si="18"/>
        <v>0</v>
      </c>
      <c r="AN28" s="145">
        <f t="shared" si="18"/>
        <v>0</v>
      </c>
    </row>
    <row r="29" spans="1:40">
      <c r="AB29" s="38" t="s">
        <v>341</v>
      </c>
      <c r="AC29" s="145">
        <f>AC10+AC11</f>
        <v>114.79</v>
      </c>
      <c r="AD29" s="145">
        <f t="shared" ref="AD29:AN29" si="19">AD10+AD11</f>
        <v>114.79</v>
      </c>
      <c r="AE29" s="145">
        <f t="shared" si="19"/>
        <v>114.79</v>
      </c>
      <c r="AF29" s="145">
        <f t="shared" si="19"/>
        <v>114.79</v>
      </c>
      <c r="AG29" s="145">
        <f t="shared" si="19"/>
        <v>114.79</v>
      </c>
      <c r="AH29" s="145">
        <f t="shared" si="19"/>
        <v>114.79</v>
      </c>
      <c r="AI29" s="145">
        <f t="shared" si="19"/>
        <v>114.79</v>
      </c>
      <c r="AJ29" s="145">
        <f t="shared" si="19"/>
        <v>114.79</v>
      </c>
      <c r="AK29" s="145">
        <f t="shared" si="19"/>
        <v>114.79</v>
      </c>
      <c r="AL29" s="145">
        <f t="shared" si="19"/>
        <v>114.79</v>
      </c>
      <c r="AM29" s="145">
        <f t="shared" si="19"/>
        <v>114.79</v>
      </c>
      <c r="AN29" s="145">
        <f t="shared" si="19"/>
        <v>114.79</v>
      </c>
    </row>
    <row r="30" spans="1:40">
      <c r="AB30" s="38" t="s">
        <v>108</v>
      </c>
      <c r="AC30" s="145">
        <f>AC12</f>
        <v>114.79</v>
      </c>
      <c r="AD30" s="145">
        <f t="shared" ref="AD30:AN30" si="20">AD12</f>
        <v>114.79</v>
      </c>
      <c r="AE30" s="145">
        <f t="shared" si="20"/>
        <v>114.79</v>
      </c>
      <c r="AF30" s="145">
        <f t="shared" si="20"/>
        <v>114.79</v>
      </c>
      <c r="AG30" s="145">
        <f t="shared" si="20"/>
        <v>114.79</v>
      </c>
      <c r="AH30" s="145">
        <f t="shared" si="20"/>
        <v>114.79</v>
      </c>
      <c r="AI30" s="145">
        <f t="shared" si="20"/>
        <v>114.79</v>
      </c>
      <c r="AJ30" s="145">
        <f t="shared" si="20"/>
        <v>114.79</v>
      </c>
      <c r="AK30" s="145">
        <f t="shared" si="20"/>
        <v>114.79</v>
      </c>
      <c r="AL30" s="145">
        <f t="shared" si="20"/>
        <v>114.79</v>
      </c>
      <c r="AM30" s="145">
        <f t="shared" si="20"/>
        <v>114.79</v>
      </c>
      <c r="AN30" s="145">
        <f t="shared" si="20"/>
        <v>114.79</v>
      </c>
    </row>
    <row r="31" spans="1:40">
      <c r="AB31" s="38" t="s">
        <v>383</v>
      </c>
      <c r="AC31" s="145">
        <f>SUM(AC7:AC8)</f>
        <v>852</v>
      </c>
      <c r="AD31" s="145">
        <f t="shared" ref="AD31:AN31" si="21">SUM(AD7:AD8)</f>
        <v>852</v>
      </c>
      <c r="AE31" s="145">
        <f t="shared" si="21"/>
        <v>852</v>
      </c>
      <c r="AF31" s="145">
        <f t="shared" si="21"/>
        <v>852</v>
      </c>
      <c r="AG31" s="145">
        <f t="shared" si="21"/>
        <v>852</v>
      </c>
      <c r="AH31" s="145">
        <f t="shared" si="21"/>
        <v>852</v>
      </c>
      <c r="AI31" s="145">
        <f t="shared" si="21"/>
        <v>852</v>
      </c>
      <c r="AJ31" s="145">
        <f t="shared" si="21"/>
        <v>852</v>
      </c>
      <c r="AK31" s="145">
        <f t="shared" si="21"/>
        <v>852</v>
      </c>
      <c r="AL31" s="145">
        <f t="shared" si="21"/>
        <v>1110.1666666666667</v>
      </c>
      <c r="AM31" s="145">
        <f t="shared" si="21"/>
        <v>1110.1666666666667</v>
      </c>
      <c r="AN31" s="145">
        <f t="shared" si="21"/>
        <v>1110.1666666666667</v>
      </c>
    </row>
    <row r="33" spans="29:40" ht="14.65" thickBot="1">
      <c r="AC33" s="164">
        <f>SUM(AC22:AC32)</f>
        <v>3529.6400694444442</v>
      </c>
      <c r="AD33" s="164">
        <f t="shared" ref="AD33:AN33" si="22">SUM(AD22:AD32)</f>
        <v>3657.9767361111108</v>
      </c>
      <c r="AE33" s="164">
        <f t="shared" si="22"/>
        <v>3657.9767361111108</v>
      </c>
      <c r="AF33" s="164">
        <f t="shared" si="22"/>
        <v>3657.9767361111108</v>
      </c>
      <c r="AG33" s="164">
        <f t="shared" si="22"/>
        <v>3657.9767361111108</v>
      </c>
      <c r="AH33" s="164">
        <f t="shared" si="22"/>
        <v>3657.9767361111108</v>
      </c>
      <c r="AI33" s="164">
        <f t="shared" si="22"/>
        <v>3657.9767361111108</v>
      </c>
      <c r="AJ33" s="164">
        <f t="shared" si="22"/>
        <v>3657.9767361111108</v>
      </c>
      <c r="AK33" s="164">
        <f t="shared" si="22"/>
        <v>3657.9767361111108</v>
      </c>
      <c r="AL33" s="164">
        <f t="shared" si="22"/>
        <v>3916.1434027777777</v>
      </c>
      <c r="AM33" s="164">
        <f t="shared" si="22"/>
        <v>3916.1434027777777</v>
      </c>
      <c r="AN33" s="164">
        <f t="shared" si="22"/>
        <v>3916.1434027777777</v>
      </c>
    </row>
    <row r="34" spans="29:40">
      <c r="AN34" s="145">
        <f>SUM(AC33:AN33)</f>
        <v>44541.88416666667</v>
      </c>
    </row>
    <row r="35" spans="29:40">
      <c r="AN35" s="145">
        <f>N19+S19+AA19</f>
        <v>46177.530833333345</v>
      </c>
    </row>
    <row r="36" spans="29:40">
      <c r="AN36" s="145">
        <f>AN34-AN35</f>
        <v>-1635.6466666666747</v>
      </c>
    </row>
  </sheetData>
  <mergeCells count="1">
    <mergeCell ref="U3:V3"/>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S74"/>
  <sheetViews>
    <sheetView tabSelected="1" zoomScaleNormal="100" workbookViewId="0">
      <selection activeCell="G36" sqref="G36"/>
    </sheetView>
  </sheetViews>
  <sheetFormatPr defaultColWidth="9" defaultRowHeight="14.25"/>
  <cols>
    <col min="1" max="1" width="34.42578125" bestFit="1" customWidth="1"/>
    <col min="2" max="2" width="13" style="5" bestFit="1" customWidth="1"/>
    <col min="3" max="4" width="8.5703125" style="13" customWidth="1"/>
    <col min="5" max="5" width="8.85546875" style="13" bestFit="1" customWidth="1"/>
    <col min="6" max="6" width="9.42578125" style="13" bestFit="1" customWidth="1"/>
    <col min="7" max="14" width="8.5703125" style="13" customWidth="1"/>
    <col min="15" max="15" width="10.5703125" style="13" bestFit="1" customWidth="1"/>
  </cols>
  <sheetData>
    <row r="1" spans="1:15">
      <c r="A1" s="1" t="s">
        <v>0</v>
      </c>
      <c r="B1" s="2"/>
    </row>
    <row r="2" spans="1:15">
      <c r="A2" s="1" t="s">
        <v>10</v>
      </c>
      <c r="B2" s="2"/>
    </row>
    <row r="3" spans="1:15">
      <c r="A3" s="197">
        <f>'Income - Overall'!A3</f>
        <v>46173</v>
      </c>
      <c r="B3" s="2"/>
    </row>
    <row r="4" spans="1:15">
      <c r="A4" s="1" t="s">
        <v>458</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8">
      <c r="A33" s="15" t="s">
        <v>110</v>
      </c>
      <c r="B33" s="5" t="s">
        <v>166</v>
      </c>
      <c r="C33" s="13">
        <f t="shared" ref="C33:O33" si="5">SUM(C34:C35)</f>
        <v>8263.73</v>
      </c>
      <c r="D33" s="13">
        <f t="shared" si="5"/>
        <v>869.89</v>
      </c>
      <c r="E33" s="13">
        <f t="shared" si="5"/>
        <v>19098.32</v>
      </c>
      <c r="F33" s="13">
        <f t="shared" si="5"/>
        <v>-16600.86</v>
      </c>
      <c r="G33" s="13">
        <f t="shared" si="5"/>
        <v>120.67</v>
      </c>
      <c r="H33" s="13">
        <f t="shared" si="5"/>
        <v>0</v>
      </c>
      <c r="I33" s="13">
        <f t="shared" si="5"/>
        <v>0</v>
      </c>
      <c r="J33" s="13">
        <f t="shared" si="5"/>
        <v>0</v>
      </c>
      <c r="K33" s="13">
        <f>SUM(K34:K35)</f>
        <v>0</v>
      </c>
      <c r="L33" s="13">
        <f t="shared" si="5"/>
        <v>0</v>
      </c>
      <c r="M33" s="13">
        <f t="shared" si="5"/>
        <v>0</v>
      </c>
      <c r="N33" s="13">
        <f t="shared" si="5"/>
        <v>0</v>
      </c>
      <c r="O33" s="13">
        <f t="shared" si="5"/>
        <v>11751.749999999998</v>
      </c>
    </row>
    <row r="34" spans="1:18" s="19" customFormat="1">
      <c r="A34" s="20" t="s">
        <v>111</v>
      </c>
      <c r="B34" s="21" t="s">
        <v>182</v>
      </c>
      <c r="C34" s="207">
        <v>8263.73</v>
      </c>
      <c r="D34" s="208">
        <v>869.89</v>
      </c>
      <c r="E34" s="207">
        <f>19098.32</f>
        <v>19098.32</v>
      </c>
      <c r="F34" s="207">
        <v>-17692.86</v>
      </c>
      <c r="G34" s="208">
        <v>120.67</v>
      </c>
      <c r="I34" s="32"/>
      <c r="J34" s="32"/>
      <c r="K34" s="32"/>
      <c r="L34" s="32"/>
      <c r="M34" s="32"/>
      <c r="N34" s="32"/>
      <c r="O34" s="188">
        <f>SUM(C34:N34)</f>
        <v>10659.749999999998</v>
      </c>
      <c r="Q34"/>
      <c r="R34"/>
    </row>
    <row r="35" spans="1:18" s="19" customFormat="1">
      <c r="A35" s="22" t="s">
        <v>112</v>
      </c>
      <c r="B35" s="23" t="s">
        <v>183</v>
      </c>
      <c r="C35" s="34"/>
      <c r="D35" s="34"/>
      <c r="E35" s="34"/>
      <c r="F35" s="207">
        <v>1092</v>
      </c>
      <c r="G35" s="208"/>
      <c r="H35" s="34"/>
      <c r="I35" s="34"/>
      <c r="J35" s="34"/>
      <c r="K35" s="34"/>
      <c r="L35" s="34"/>
      <c r="M35" s="34"/>
      <c r="N35" s="34"/>
      <c r="O35" s="189">
        <f>SUM(C35:N35)</f>
        <v>1092</v>
      </c>
      <c r="Q35"/>
      <c r="R35"/>
    </row>
    <row r="36" spans="1:18" s="19" customFormat="1" ht="7.5" customHeight="1">
      <c r="A36" s="38"/>
      <c r="B36" s="25"/>
      <c r="C36" s="36"/>
      <c r="D36" s="36"/>
      <c r="E36" s="36"/>
      <c r="F36" s="36"/>
      <c r="G36" s="36"/>
      <c r="H36" s="36"/>
      <c r="I36" s="36"/>
      <c r="J36" s="36"/>
      <c r="K36" s="36"/>
      <c r="L36" s="36"/>
      <c r="M36" s="36"/>
      <c r="N36" s="36"/>
      <c r="O36" s="36"/>
      <c r="Q36"/>
      <c r="R36"/>
    </row>
    <row r="37" spans="1:18">
      <c r="A37" s="15" t="s">
        <v>113</v>
      </c>
      <c r="B37" s="5" t="s">
        <v>184</v>
      </c>
      <c r="O37" s="13">
        <f>SUM(D37:N37)</f>
        <v>0</v>
      </c>
    </row>
    <row r="38" spans="1:18">
      <c r="A38" s="15" t="s">
        <v>114</v>
      </c>
      <c r="B38" s="5" t="s">
        <v>166</v>
      </c>
      <c r="C38" s="13">
        <f>SUM(C39:C41)</f>
        <v>0</v>
      </c>
      <c r="D38" s="13">
        <f t="shared" ref="D38:N38" si="6">SUM(D39:D41)</f>
        <v>0</v>
      </c>
      <c r="E38" s="13">
        <f t="shared" si="6"/>
        <v>0</v>
      </c>
      <c r="F38" s="13">
        <f t="shared" si="6"/>
        <v>0</v>
      </c>
      <c r="G38" s="13">
        <f t="shared" si="6"/>
        <v>0</v>
      </c>
      <c r="H38" s="13">
        <f t="shared" si="6"/>
        <v>0</v>
      </c>
      <c r="I38" s="13">
        <f t="shared" si="6"/>
        <v>0</v>
      </c>
      <c r="J38" s="13">
        <f t="shared" si="6"/>
        <v>0</v>
      </c>
      <c r="K38" s="13">
        <f t="shared" si="6"/>
        <v>0</v>
      </c>
      <c r="L38" s="13">
        <f t="shared" si="6"/>
        <v>0</v>
      </c>
      <c r="M38" s="13">
        <f t="shared" si="6"/>
        <v>0</v>
      </c>
      <c r="N38" s="13">
        <f t="shared" si="6"/>
        <v>0</v>
      </c>
      <c r="O38" s="13">
        <f>SUM(D38:N38)</f>
        <v>0</v>
      </c>
    </row>
    <row r="39" spans="1:18" s="19" customFormat="1">
      <c r="A39" s="20" t="s">
        <v>115</v>
      </c>
      <c r="B39" s="21" t="s">
        <v>185</v>
      </c>
      <c r="C39" s="32"/>
      <c r="D39" s="32"/>
      <c r="E39" s="32"/>
      <c r="F39" s="32"/>
      <c r="G39" s="32"/>
      <c r="H39" s="32"/>
      <c r="I39" s="32"/>
      <c r="J39" s="32"/>
      <c r="K39" s="32"/>
      <c r="L39" s="32"/>
      <c r="M39" s="32"/>
      <c r="N39" s="32"/>
      <c r="O39" s="33">
        <f>SUM(D39:N39)</f>
        <v>0</v>
      </c>
    </row>
    <row r="40" spans="1:18" s="19" customFormat="1">
      <c r="A40" s="24" t="s">
        <v>116</v>
      </c>
      <c r="B40" s="25" t="s">
        <v>186</v>
      </c>
      <c r="C40" s="36"/>
      <c r="D40" s="36"/>
      <c r="E40" s="36"/>
      <c r="F40" s="36"/>
      <c r="G40" s="36"/>
      <c r="H40" s="36"/>
      <c r="I40" s="36"/>
      <c r="J40" s="36"/>
      <c r="K40" s="36"/>
      <c r="L40" s="36"/>
      <c r="M40" s="36"/>
      <c r="N40" s="36"/>
      <c r="O40" s="37">
        <f>SUM(D40:N40)</f>
        <v>0</v>
      </c>
    </row>
    <row r="41" spans="1:18" s="19" customFormat="1">
      <c r="A41" s="22" t="s">
        <v>117</v>
      </c>
      <c r="B41" s="23" t="s">
        <v>187</v>
      </c>
      <c r="C41" s="34"/>
      <c r="D41" s="34"/>
      <c r="E41" s="34"/>
      <c r="F41" s="34"/>
      <c r="G41" s="34"/>
      <c r="H41" s="34"/>
      <c r="I41" s="34"/>
      <c r="J41" s="34"/>
      <c r="K41" s="34"/>
      <c r="L41" s="34"/>
      <c r="M41" s="34"/>
      <c r="N41" s="34"/>
      <c r="O41" s="35">
        <f>SUM(D41:N41)</f>
        <v>0</v>
      </c>
    </row>
    <row r="42" spans="1:18" s="19" customFormat="1" ht="7.5" customHeight="1">
      <c r="A42" s="38"/>
      <c r="B42" s="25"/>
      <c r="C42" s="36"/>
      <c r="D42" s="36"/>
      <c r="E42" s="36"/>
      <c r="F42" s="36"/>
      <c r="G42" s="36"/>
      <c r="H42" s="36"/>
      <c r="I42" s="36"/>
      <c r="J42" s="36"/>
      <c r="K42" s="36"/>
      <c r="L42" s="36"/>
      <c r="M42" s="36"/>
      <c r="N42" s="36"/>
      <c r="O42" s="36"/>
    </row>
    <row r="43" spans="1:18">
      <c r="A43" s="15" t="s">
        <v>118</v>
      </c>
      <c r="B43" s="5" t="s">
        <v>166</v>
      </c>
      <c r="C43" s="13">
        <f>SUM(C44:C45)</f>
        <v>0</v>
      </c>
      <c r="D43" s="13">
        <f t="shared" ref="D43:N43" si="7">SUM(D44:D45)</f>
        <v>0</v>
      </c>
      <c r="E43" s="13">
        <f t="shared" si="7"/>
        <v>0</v>
      </c>
      <c r="F43" s="13">
        <f t="shared" si="7"/>
        <v>0</v>
      </c>
      <c r="G43" s="13">
        <f t="shared" si="7"/>
        <v>0</v>
      </c>
      <c r="H43" s="13">
        <f t="shared" si="7"/>
        <v>0</v>
      </c>
      <c r="I43" s="13">
        <f t="shared" si="7"/>
        <v>0</v>
      </c>
      <c r="J43" s="13">
        <f t="shared" si="7"/>
        <v>0</v>
      </c>
      <c r="K43" s="13">
        <f t="shared" si="7"/>
        <v>0</v>
      </c>
      <c r="L43" s="13">
        <f t="shared" si="7"/>
        <v>0</v>
      </c>
      <c r="M43" s="13">
        <f t="shared" si="7"/>
        <v>0</v>
      </c>
      <c r="N43" s="13">
        <f t="shared" si="7"/>
        <v>0</v>
      </c>
      <c r="O43" s="13">
        <f>SUM(D43:N43)</f>
        <v>0</v>
      </c>
    </row>
    <row r="44" spans="1:18" s="19" customFormat="1">
      <c r="A44" s="20" t="s">
        <v>119</v>
      </c>
      <c r="B44" s="21" t="s">
        <v>188</v>
      </c>
      <c r="C44" s="32"/>
      <c r="D44" s="32"/>
      <c r="E44" s="32"/>
      <c r="F44" s="32"/>
      <c r="G44" s="32"/>
      <c r="H44" s="32"/>
      <c r="I44" s="32"/>
      <c r="J44" s="32"/>
      <c r="K44" s="32"/>
      <c r="L44" s="32"/>
      <c r="M44" s="32"/>
      <c r="N44" s="32"/>
      <c r="O44" s="33">
        <f>SUM(D44:N44)</f>
        <v>0</v>
      </c>
    </row>
    <row r="45" spans="1:18" s="19" customFormat="1">
      <c r="A45" s="22" t="s">
        <v>120</v>
      </c>
      <c r="B45" s="23" t="s">
        <v>190</v>
      </c>
      <c r="C45" s="34"/>
      <c r="D45" s="34"/>
      <c r="E45" s="34"/>
      <c r="F45" s="34"/>
      <c r="G45" s="34"/>
      <c r="H45" s="34"/>
      <c r="I45" s="34"/>
      <c r="J45" s="34"/>
      <c r="K45" s="34"/>
      <c r="L45" s="34"/>
      <c r="M45" s="34"/>
      <c r="N45" s="34"/>
      <c r="O45" s="35">
        <f>SUM(D45:N45)</f>
        <v>0</v>
      </c>
    </row>
    <row r="46" spans="1:18" s="19" customFormat="1" ht="7.5" customHeight="1">
      <c r="A46" s="38"/>
      <c r="B46" s="25"/>
      <c r="C46" s="36"/>
      <c r="D46" s="36"/>
      <c r="E46" s="36"/>
      <c r="F46" s="36"/>
      <c r="G46" s="36"/>
      <c r="H46" s="36"/>
      <c r="I46" s="36"/>
      <c r="J46" s="36"/>
      <c r="K46" s="36"/>
      <c r="L46" s="36"/>
      <c r="M46" s="36"/>
      <c r="N46" s="36"/>
      <c r="O46" s="36"/>
    </row>
    <row r="47" spans="1:18">
      <c r="A47" s="15" t="s">
        <v>121</v>
      </c>
      <c r="B47" s="5" t="s">
        <v>192</v>
      </c>
      <c r="O47" s="13">
        <f>SUM(D47:N47)</f>
        <v>0</v>
      </c>
    </row>
    <row r="48" spans="1:18">
      <c r="A48" s="15" t="s">
        <v>122</v>
      </c>
      <c r="B48" s="5" t="s">
        <v>166</v>
      </c>
      <c r="C48" s="13">
        <f>SUM(C49:C52)</f>
        <v>0</v>
      </c>
      <c r="D48" s="13">
        <f t="shared" ref="D48:N48" si="8">SUM(D49:D52)</f>
        <v>0</v>
      </c>
      <c r="E48" s="13">
        <f t="shared" si="8"/>
        <v>0</v>
      </c>
      <c r="F48" s="13">
        <f t="shared" si="8"/>
        <v>0</v>
      </c>
      <c r="G48" s="13">
        <f t="shared" si="8"/>
        <v>0</v>
      </c>
      <c r="H48" s="13">
        <f t="shared" si="8"/>
        <v>0</v>
      </c>
      <c r="I48" s="13">
        <f t="shared" si="8"/>
        <v>0</v>
      </c>
      <c r="J48" s="13">
        <f t="shared" si="8"/>
        <v>0</v>
      </c>
      <c r="K48" s="13">
        <f t="shared" si="8"/>
        <v>0</v>
      </c>
      <c r="L48" s="13">
        <f t="shared" si="8"/>
        <v>0</v>
      </c>
      <c r="M48" s="13">
        <f t="shared" si="8"/>
        <v>0</v>
      </c>
      <c r="N48" s="13">
        <f t="shared" si="8"/>
        <v>0</v>
      </c>
      <c r="O48" s="13">
        <f>SUM(D48:N48)</f>
        <v>0</v>
      </c>
    </row>
    <row r="49" spans="1:15" s="19" customFormat="1">
      <c r="A49" s="20" t="s">
        <v>123</v>
      </c>
      <c r="B49" s="21" t="s">
        <v>193</v>
      </c>
      <c r="C49" s="32"/>
      <c r="D49" s="32"/>
      <c r="E49" s="32"/>
      <c r="F49" s="32"/>
      <c r="G49" s="32"/>
      <c r="H49" s="32"/>
      <c r="I49" s="32"/>
      <c r="J49" s="32"/>
      <c r="K49" s="32"/>
      <c r="L49" s="32"/>
      <c r="M49" s="32"/>
      <c r="N49" s="32"/>
      <c r="O49" s="33">
        <f>SUM(D49:N49)</f>
        <v>0</v>
      </c>
    </row>
    <row r="50" spans="1:15" s="19" customFormat="1">
      <c r="A50" s="24" t="s">
        <v>124</v>
      </c>
      <c r="B50" s="25" t="s">
        <v>194</v>
      </c>
      <c r="C50" s="36"/>
      <c r="D50" s="36"/>
      <c r="E50" s="36"/>
      <c r="F50" s="36"/>
      <c r="G50" s="36"/>
      <c r="H50" s="36"/>
      <c r="I50" s="36"/>
      <c r="J50" s="36"/>
      <c r="K50" s="36"/>
      <c r="L50" s="36"/>
      <c r="M50" s="36"/>
      <c r="N50" s="36"/>
      <c r="O50" s="37">
        <f>SUM(D50:N50)</f>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SUM(D52:N52)</f>
        <v>0</v>
      </c>
    </row>
    <row r="53" spans="1:15" s="19" customFormat="1" ht="7.5" customHeight="1">
      <c r="A53" s="38"/>
      <c r="B53" s="25"/>
      <c r="C53" s="36"/>
      <c r="D53" s="36"/>
      <c r="E53" s="36"/>
      <c r="F53" s="36"/>
      <c r="G53" s="36"/>
      <c r="H53" s="36"/>
      <c r="I53" s="36"/>
      <c r="J53" s="36"/>
      <c r="K53" s="36"/>
      <c r="L53" s="36"/>
      <c r="M53" s="36"/>
      <c r="N53" s="36"/>
      <c r="O53" s="36"/>
    </row>
    <row r="54" spans="1:15">
      <c r="A54" s="15" t="s">
        <v>126</v>
      </c>
      <c r="C54" s="13">
        <f>SUM(C55:C59)</f>
        <v>0</v>
      </c>
      <c r="D54" s="13">
        <f t="shared" ref="D54:N54" si="9">SUM(D55:D59)</f>
        <v>0</v>
      </c>
      <c r="E54" s="13">
        <f t="shared" si="9"/>
        <v>0</v>
      </c>
      <c r="F54" s="13">
        <f t="shared" si="9"/>
        <v>0</v>
      </c>
      <c r="G54" s="13">
        <f t="shared" si="9"/>
        <v>0</v>
      </c>
      <c r="H54" s="13">
        <f t="shared" si="9"/>
        <v>0</v>
      </c>
      <c r="I54" s="13">
        <f t="shared" si="9"/>
        <v>0</v>
      </c>
      <c r="J54" s="13">
        <f t="shared" si="9"/>
        <v>0</v>
      </c>
      <c r="K54" s="13">
        <f t="shared" si="9"/>
        <v>0</v>
      </c>
      <c r="L54" s="13">
        <f t="shared" si="9"/>
        <v>0</v>
      </c>
      <c r="M54" s="13">
        <f t="shared" si="9"/>
        <v>0</v>
      </c>
      <c r="N54" s="13">
        <f t="shared" si="9"/>
        <v>0</v>
      </c>
      <c r="O54" s="13">
        <f t="shared" ref="O54:O59" si="10">SUM(D54:N54)</f>
        <v>0</v>
      </c>
    </row>
    <row r="55" spans="1:15" s="19" customFormat="1">
      <c r="A55" s="20" t="s">
        <v>127</v>
      </c>
      <c r="B55" s="21" t="s">
        <v>196</v>
      </c>
      <c r="C55" s="32"/>
      <c r="D55" s="32"/>
      <c r="E55" s="32"/>
      <c r="F55" s="32"/>
      <c r="G55" s="32"/>
      <c r="H55" s="32"/>
      <c r="I55" s="32"/>
      <c r="J55" s="32"/>
      <c r="K55" s="32"/>
      <c r="L55" s="32"/>
      <c r="M55" s="32"/>
      <c r="N55" s="32"/>
      <c r="O55" s="33">
        <f t="shared" si="10"/>
        <v>0</v>
      </c>
    </row>
    <row r="56" spans="1:15" s="19" customFormat="1">
      <c r="A56" s="24" t="s">
        <v>128</v>
      </c>
      <c r="B56" s="25" t="s">
        <v>197</v>
      </c>
      <c r="C56" s="36"/>
      <c r="D56" s="36"/>
      <c r="E56" s="36"/>
      <c r="F56" s="36"/>
      <c r="G56" s="36"/>
      <c r="H56" s="36"/>
      <c r="I56" s="36"/>
      <c r="J56" s="36"/>
      <c r="K56" s="36"/>
      <c r="L56" s="36"/>
      <c r="M56" s="36"/>
      <c r="N56" s="36"/>
      <c r="O56" s="37">
        <f t="shared" si="10"/>
        <v>0</v>
      </c>
    </row>
    <row r="57" spans="1:15" s="19" customFormat="1">
      <c r="A57" s="24" t="s">
        <v>129</v>
      </c>
      <c r="B57" s="25" t="s">
        <v>198</v>
      </c>
      <c r="C57" s="36"/>
      <c r="D57" s="36"/>
      <c r="E57" s="36"/>
      <c r="F57" s="36"/>
      <c r="G57" s="36"/>
      <c r="H57" s="36"/>
      <c r="I57" s="36"/>
      <c r="J57" s="36"/>
      <c r="K57" s="36"/>
      <c r="L57" s="36"/>
      <c r="M57" s="36"/>
      <c r="N57" s="36"/>
      <c r="O57" s="37">
        <f t="shared" si="10"/>
        <v>0</v>
      </c>
    </row>
    <row r="58" spans="1:15" s="19" customFormat="1">
      <c r="A58" s="24" t="s">
        <v>81</v>
      </c>
      <c r="B58" s="25" t="s">
        <v>199</v>
      </c>
      <c r="C58" s="36"/>
      <c r="D58" s="36"/>
      <c r="E58" s="36"/>
      <c r="F58" s="36"/>
      <c r="G58" s="36"/>
      <c r="H58" s="36"/>
      <c r="I58" s="36"/>
      <c r="J58" s="36"/>
      <c r="K58" s="36"/>
      <c r="L58" s="36"/>
      <c r="M58" s="36"/>
      <c r="N58" s="36"/>
      <c r="O58" s="37">
        <f t="shared" si="10"/>
        <v>0</v>
      </c>
    </row>
    <row r="59" spans="1:15" s="19" customFormat="1">
      <c r="A59" s="22" t="s">
        <v>200</v>
      </c>
      <c r="B59" s="23" t="s">
        <v>201</v>
      </c>
      <c r="C59" s="34"/>
      <c r="D59" s="34"/>
      <c r="E59" s="34"/>
      <c r="F59" s="34"/>
      <c r="G59" s="34"/>
      <c r="H59" s="34"/>
      <c r="I59" s="34"/>
      <c r="J59" s="34"/>
      <c r="K59" s="34"/>
      <c r="L59" s="34"/>
      <c r="M59" s="34"/>
      <c r="N59" s="34"/>
      <c r="O59" s="35">
        <f t="shared" si="10"/>
        <v>0</v>
      </c>
    </row>
    <row r="60" spans="1:15" s="19" customFormat="1">
      <c r="A60" s="38"/>
      <c r="B60" s="25"/>
      <c r="C60" s="36"/>
      <c r="D60" s="36"/>
      <c r="E60" s="36"/>
      <c r="F60" s="36"/>
      <c r="G60" s="36"/>
      <c r="H60" s="36"/>
      <c r="I60" s="36"/>
      <c r="J60" s="36"/>
      <c r="K60" s="36"/>
      <c r="L60" s="36"/>
      <c r="M60" s="36"/>
      <c r="N60" s="36"/>
      <c r="O60" s="36"/>
    </row>
    <row r="61" spans="1:15" s="19" customFormat="1" ht="14.65" thickBot="1">
      <c r="A61" s="7" t="s">
        <v>131</v>
      </c>
      <c r="B61" s="25"/>
      <c r="C61" s="28">
        <f t="shared" ref="C61:O61" si="11">C54+C48+C47+C43+C38+C37+C33+C21+C20+C19+C15+C14+C13</f>
        <v>8263.73</v>
      </c>
      <c r="D61" s="28">
        <f t="shared" si="11"/>
        <v>869.89</v>
      </c>
      <c r="E61" s="28">
        <f t="shared" si="11"/>
        <v>19098.32</v>
      </c>
      <c r="F61" s="28">
        <f t="shared" si="11"/>
        <v>-16600.86</v>
      </c>
      <c r="G61" s="28">
        <f t="shared" si="11"/>
        <v>120.67</v>
      </c>
      <c r="H61" s="28">
        <f t="shared" si="11"/>
        <v>0</v>
      </c>
      <c r="I61" s="28">
        <f t="shared" si="11"/>
        <v>0</v>
      </c>
      <c r="J61" s="28">
        <f t="shared" si="11"/>
        <v>0</v>
      </c>
      <c r="K61" s="28">
        <f t="shared" si="11"/>
        <v>0</v>
      </c>
      <c r="L61" s="28">
        <f t="shared" si="11"/>
        <v>0</v>
      </c>
      <c r="M61" s="28">
        <f t="shared" si="11"/>
        <v>0</v>
      </c>
      <c r="N61" s="28">
        <f t="shared" si="11"/>
        <v>0</v>
      </c>
      <c r="O61" s="28">
        <f t="shared" si="11"/>
        <v>11751.749999999998</v>
      </c>
    </row>
    <row r="62" spans="1:15" s="19" customFormat="1">
      <c r="A62" s="7"/>
      <c r="B62" s="25"/>
      <c r="C62" s="36"/>
      <c r="D62" s="36"/>
      <c r="E62" s="36"/>
      <c r="F62" s="36"/>
      <c r="G62" s="36"/>
      <c r="H62" s="36"/>
      <c r="I62" s="36"/>
      <c r="J62" s="36"/>
      <c r="K62" s="36"/>
      <c r="L62" s="36"/>
      <c r="M62" s="36"/>
      <c r="N62" s="36"/>
      <c r="O62" s="36"/>
    </row>
    <row r="63" spans="1:15" s="19" customFormat="1" ht="14.65" thickBot="1">
      <c r="A63" s="7" t="s">
        <v>132</v>
      </c>
      <c r="B63" s="25"/>
      <c r="C63" s="28">
        <f t="shared" ref="C63:O63" si="12">C61+C10</f>
        <v>8263.73</v>
      </c>
      <c r="D63" s="28">
        <f t="shared" si="12"/>
        <v>869.89</v>
      </c>
      <c r="E63" s="28">
        <f t="shared" si="12"/>
        <v>19098.32</v>
      </c>
      <c r="F63" s="28">
        <f t="shared" si="12"/>
        <v>-16600.86</v>
      </c>
      <c r="G63" s="28">
        <f t="shared" si="12"/>
        <v>120.67</v>
      </c>
      <c r="H63" s="28">
        <f t="shared" si="12"/>
        <v>0</v>
      </c>
      <c r="I63" s="28">
        <f t="shared" si="12"/>
        <v>0</v>
      </c>
      <c r="J63" s="28">
        <f t="shared" si="12"/>
        <v>0</v>
      </c>
      <c r="K63" s="28">
        <f t="shared" si="12"/>
        <v>0</v>
      </c>
      <c r="L63" s="28">
        <f t="shared" si="12"/>
        <v>0</v>
      </c>
      <c r="M63" s="28">
        <f t="shared" si="12"/>
        <v>0</v>
      </c>
      <c r="N63" s="28">
        <f t="shared" si="12"/>
        <v>0</v>
      </c>
      <c r="O63" s="28">
        <f t="shared" si="12"/>
        <v>11751.749999999998</v>
      </c>
    </row>
    <row r="64" spans="1:15">
      <c r="B64" s="8"/>
    </row>
    <row r="65" spans="1:15" hidden="1">
      <c r="A65" s="7" t="s">
        <v>387</v>
      </c>
    </row>
    <row r="66" spans="1:15" hidden="1">
      <c r="A66" t="s">
        <v>388</v>
      </c>
      <c r="O66" s="13">
        <f t="shared" ref="O66:O73" si="13">SUM(C66:N66)</f>
        <v>0</v>
      </c>
    </row>
    <row r="67" spans="1:15" hidden="1">
      <c r="A67" t="s">
        <v>389</v>
      </c>
      <c r="O67" s="13">
        <f t="shared" si="13"/>
        <v>0</v>
      </c>
    </row>
    <row r="68" spans="1:15" hidden="1">
      <c r="A68" t="s">
        <v>390</v>
      </c>
      <c r="O68" s="13">
        <f t="shared" si="13"/>
        <v>0</v>
      </c>
    </row>
    <row r="69" spans="1:15" hidden="1">
      <c r="A69" t="s">
        <v>391</v>
      </c>
      <c r="O69" s="13">
        <f t="shared" si="13"/>
        <v>0</v>
      </c>
    </row>
    <row r="70" spans="1:15" hidden="1">
      <c r="A70" t="s">
        <v>392</v>
      </c>
      <c r="O70" s="13">
        <f t="shared" si="13"/>
        <v>0</v>
      </c>
    </row>
    <row r="71" spans="1:15" hidden="1">
      <c r="A71" t="s">
        <v>382</v>
      </c>
      <c r="O71" s="13">
        <f t="shared" si="13"/>
        <v>0</v>
      </c>
    </row>
    <row r="72" spans="1:15" hidden="1">
      <c r="A72" t="s">
        <v>393</v>
      </c>
      <c r="O72" s="13">
        <f t="shared" si="13"/>
        <v>0</v>
      </c>
    </row>
    <row r="73" spans="1:15" hidden="1">
      <c r="A73" t="s">
        <v>394</v>
      </c>
      <c r="O73" s="13">
        <f t="shared" si="13"/>
        <v>0</v>
      </c>
    </row>
    <row r="74" spans="1:15" hidden="1">
      <c r="A74" s="7" t="s">
        <v>395</v>
      </c>
      <c r="C74" s="26">
        <f t="shared" ref="C74:O74" si="14">SUM(C66:C73)</f>
        <v>0</v>
      </c>
      <c r="D74" s="26">
        <f t="shared" si="14"/>
        <v>0</v>
      </c>
      <c r="E74" s="26">
        <f t="shared" si="14"/>
        <v>0</v>
      </c>
      <c r="F74" s="26">
        <f t="shared" si="14"/>
        <v>0</v>
      </c>
      <c r="G74" s="26">
        <f t="shared" si="14"/>
        <v>0</v>
      </c>
      <c r="H74" s="26">
        <f t="shared" si="14"/>
        <v>0</v>
      </c>
      <c r="I74" s="26">
        <f t="shared" si="14"/>
        <v>0</v>
      </c>
      <c r="J74" s="26">
        <f t="shared" si="14"/>
        <v>0</v>
      </c>
      <c r="K74" s="26">
        <f t="shared" si="14"/>
        <v>0</v>
      </c>
      <c r="L74" s="26">
        <f t="shared" si="14"/>
        <v>0</v>
      </c>
      <c r="M74" s="26">
        <f t="shared" si="14"/>
        <v>0</v>
      </c>
      <c r="N74" s="26">
        <f t="shared" si="14"/>
        <v>0</v>
      </c>
      <c r="O74" s="26">
        <f t="shared" si="14"/>
        <v>0</v>
      </c>
    </row>
  </sheetData>
  <pageMargins left="0.7" right="0.7" top="0.75" bottom="0.75" header="0.3" footer="0.3"/>
  <pageSetup paperSize="9" scale="55" orientation="landscape" r:id="rId1"/>
  <headerFooter alignWithMargins="0">
    <oddHeader>&amp;A</oddHeader>
  </headerFooter>
  <legacy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345CA-0204-48C7-87FC-9AAFE691A839}">
  <dimension ref="A1:L66"/>
  <sheetViews>
    <sheetView zoomScale="120" zoomScaleNormal="120" workbookViewId="0">
      <pane ySplit="1" topLeftCell="A45" activePane="bottomLeft" state="frozen"/>
      <selection pane="bottomLeft" activeCell="F56" sqref="F56"/>
    </sheetView>
  </sheetViews>
  <sheetFormatPr defaultRowHeight="14.25"/>
  <cols>
    <col min="1" max="1" width="8.85546875" bestFit="1" customWidth="1"/>
    <col min="2" max="2" width="12" bestFit="1" customWidth="1"/>
    <col min="3" max="3" width="11.28515625" bestFit="1" customWidth="1"/>
    <col min="4" max="4" width="8.5703125" bestFit="1" customWidth="1"/>
    <col min="5" max="5" width="14.140625" bestFit="1" customWidth="1"/>
    <col min="6" max="6" width="16" bestFit="1" customWidth="1"/>
    <col min="7" max="7" width="13.140625" bestFit="1" customWidth="1"/>
    <col min="8" max="8" width="8.5703125" bestFit="1" customWidth="1"/>
    <col min="9" max="9" width="9" bestFit="1" customWidth="1"/>
    <col min="10" max="11" width="10" bestFit="1" customWidth="1"/>
    <col min="12" max="12" width="54" style="168" bestFit="1" customWidth="1"/>
  </cols>
  <sheetData>
    <row r="1" spans="1:12">
      <c r="A1" t="s">
        <v>459</v>
      </c>
      <c r="B1" t="s">
        <v>460</v>
      </c>
      <c r="C1" t="s">
        <v>461</v>
      </c>
      <c r="D1" t="s">
        <v>462</v>
      </c>
      <c r="E1" t="s">
        <v>463</v>
      </c>
      <c r="F1" t="s">
        <v>464</v>
      </c>
      <c r="G1" t="s">
        <v>465</v>
      </c>
      <c r="H1" t="s">
        <v>460</v>
      </c>
      <c r="I1" t="s">
        <v>461</v>
      </c>
      <c r="J1" t="s">
        <v>462</v>
      </c>
      <c r="K1" t="s">
        <v>466</v>
      </c>
      <c r="L1" s="168" t="s">
        <v>467</v>
      </c>
    </row>
    <row r="2" spans="1:12" ht="142.5">
      <c r="A2">
        <v>1018852</v>
      </c>
      <c r="B2">
        <v>2500</v>
      </c>
      <c r="C2">
        <v>5001</v>
      </c>
      <c r="D2" t="s">
        <v>253</v>
      </c>
      <c r="E2" t="s">
        <v>468</v>
      </c>
      <c r="F2">
        <v>1019041</v>
      </c>
      <c r="G2">
        <v>1019045</v>
      </c>
      <c r="H2">
        <v>5070</v>
      </c>
      <c r="I2">
        <v>5001</v>
      </c>
      <c r="J2" t="s">
        <v>253</v>
      </c>
      <c r="K2" s="10">
        <v>30000</v>
      </c>
      <c r="L2" s="168" t="s">
        <v>469</v>
      </c>
    </row>
    <row r="3" spans="1:12" ht="142.5">
      <c r="A3">
        <v>1018853</v>
      </c>
      <c r="B3">
        <v>2500</v>
      </c>
      <c r="C3">
        <v>5001</v>
      </c>
      <c r="D3" t="s">
        <v>253</v>
      </c>
      <c r="E3" t="s">
        <v>468</v>
      </c>
      <c r="F3">
        <v>1019042</v>
      </c>
      <c r="G3">
        <v>1019046</v>
      </c>
      <c r="H3">
        <v>5070</v>
      </c>
      <c r="I3">
        <v>5001</v>
      </c>
      <c r="J3" t="s">
        <v>253</v>
      </c>
      <c r="K3" s="10">
        <v>30000</v>
      </c>
      <c r="L3" s="168" t="s">
        <v>470</v>
      </c>
    </row>
    <row r="4" spans="1:12">
      <c r="A4">
        <v>1017545</v>
      </c>
      <c r="B4">
        <v>5001</v>
      </c>
      <c r="C4" s="169" t="s">
        <v>326</v>
      </c>
      <c r="D4" t="s">
        <v>248</v>
      </c>
      <c r="E4" t="s">
        <v>468</v>
      </c>
      <c r="F4">
        <v>1019043</v>
      </c>
      <c r="G4">
        <v>1019044</v>
      </c>
      <c r="H4">
        <v>1820</v>
      </c>
      <c r="I4">
        <v>5001</v>
      </c>
      <c r="J4" t="s">
        <v>248</v>
      </c>
      <c r="K4" s="10">
        <v>-10763.97</v>
      </c>
      <c r="L4" s="168" t="s">
        <v>471</v>
      </c>
    </row>
    <row r="5" spans="1:12" ht="42.75">
      <c r="A5">
        <v>1017938</v>
      </c>
      <c r="B5">
        <v>5003</v>
      </c>
      <c r="C5" s="169" t="s">
        <v>135</v>
      </c>
      <c r="D5" t="s">
        <v>253</v>
      </c>
      <c r="E5" t="s">
        <v>468</v>
      </c>
      <c r="F5">
        <v>1019047</v>
      </c>
      <c r="G5">
        <v>1019048</v>
      </c>
      <c r="H5">
        <v>5001</v>
      </c>
      <c r="I5" s="169" t="s">
        <v>135</v>
      </c>
      <c r="J5" t="s">
        <v>253</v>
      </c>
      <c r="K5" s="10">
        <v>50</v>
      </c>
      <c r="L5" s="168" t="s">
        <v>472</v>
      </c>
    </row>
    <row r="6" spans="1:12">
      <c r="A6">
        <v>1017188</v>
      </c>
      <c r="B6">
        <v>5001</v>
      </c>
      <c r="C6" s="169" t="s">
        <v>151</v>
      </c>
      <c r="D6" t="s">
        <v>253</v>
      </c>
      <c r="E6" t="s">
        <v>468</v>
      </c>
      <c r="F6">
        <v>1019049</v>
      </c>
      <c r="G6">
        <v>1019050</v>
      </c>
      <c r="H6">
        <v>5001</v>
      </c>
      <c r="I6" s="169" t="s">
        <v>154</v>
      </c>
      <c r="J6" t="s">
        <v>253</v>
      </c>
      <c r="K6" s="10">
        <v>250</v>
      </c>
      <c r="L6" s="168" t="s">
        <v>473</v>
      </c>
    </row>
    <row r="7" spans="1:12" ht="42.75">
      <c r="A7">
        <v>1017255</v>
      </c>
      <c r="B7">
        <v>5001</v>
      </c>
      <c r="C7" s="169" t="s">
        <v>314</v>
      </c>
      <c r="D7" t="s">
        <v>253</v>
      </c>
      <c r="E7" t="s">
        <v>468</v>
      </c>
      <c r="F7">
        <v>1019051</v>
      </c>
      <c r="G7">
        <v>1019052</v>
      </c>
      <c r="H7">
        <v>5001</v>
      </c>
      <c r="I7">
        <v>5006</v>
      </c>
      <c r="J7" t="s">
        <v>253</v>
      </c>
      <c r="K7" s="10">
        <v>1.72</v>
      </c>
      <c r="L7" s="168" t="s">
        <v>474</v>
      </c>
    </row>
    <row r="8" spans="1:12">
      <c r="A8">
        <v>1018092</v>
      </c>
      <c r="B8">
        <v>2590</v>
      </c>
      <c r="C8" s="169">
        <v>5001</v>
      </c>
      <c r="D8" t="s">
        <v>253</v>
      </c>
      <c r="E8" t="s">
        <v>468</v>
      </c>
      <c r="F8">
        <v>1019056</v>
      </c>
      <c r="G8">
        <v>1019057</v>
      </c>
      <c r="H8" s="169">
        <v>5001</v>
      </c>
      <c r="I8" s="169" t="s">
        <v>145</v>
      </c>
      <c r="J8" t="s">
        <v>253</v>
      </c>
      <c r="K8" s="10">
        <v>-422.5</v>
      </c>
      <c r="L8" s="168" t="s">
        <v>475</v>
      </c>
    </row>
    <row r="9" spans="1:12" ht="71.25">
      <c r="A9" s="171">
        <v>1017374</v>
      </c>
      <c r="B9" s="171">
        <v>6699</v>
      </c>
      <c r="C9" s="172">
        <v>5001</v>
      </c>
      <c r="D9" s="171" t="s">
        <v>253</v>
      </c>
      <c r="E9" s="171" t="s">
        <v>468</v>
      </c>
      <c r="F9" s="171">
        <v>1019058</v>
      </c>
      <c r="G9" s="171">
        <v>1019059</v>
      </c>
      <c r="H9" s="171">
        <v>5001</v>
      </c>
      <c r="I9" s="172" t="s">
        <v>326</v>
      </c>
      <c r="J9" s="171" t="s">
        <v>253</v>
      </c>
      <c r="K9" s="173">
        <v>40</v>
      </c>
      <c r="L9" s="174" t="s">
        <v>476</v>
      </c>
    </row>
    <row r="10" spans="1:12">
      <c r="A10">
        <v>1018597</v>
      </c>
      <c r="B10">
        <v>5001</v>
      </c>
      <c r="C10" s="169" t="s">
        <v>135</v>
      </c>
      <c r="D10" t="s">
        <v>253</v>
      </c>
      <c r="E10" t="s">
        <v>468</v>
      </c>
      <c r="F10">
        <v>1019060</v>
      </c>
      <c r="I10" s="169"/>
      <c r="K10" s="10">
        <v>-1050</v>
      </c>
    </row>
    <row r="11" spans="1:12">
      <c r="A11">
        <v>1018657</v>
      </c>
      <c r="B11">
        <v>5003</v>
      </c>
      <c r="C11" s="169" t="s">
        <v>141</v>
      </c>
      <c r="D11" t="s">
        <v>253</v>
      </c>
      <c r="E11" t="s">
        <v>468</v>
      </c>
      <c r="F11">
        <v>1019061</v>
      </c>
      <c r="G11">
        <v>1019062</v>
      </c>
      <c r="H11">
        <v>5001</v>
      </c>
      <c r="I11" s="169" t="s">
        <v>141</v>
      </c>
      <c r="J11" t="s">
        <v>477</v>
      </c>
      <c r="K11" s="10">
        <v>1050</v>
      </c>
      <c r="L11" s="168" t="s">
        <v>478</v>
      </c>
    </row>
    <row r="12" spans="1:12">
      <c r="C12" s="169"/>
      <c r="G12">
        <v>1019063</v>
      </c>
      <c r="H12">
        <v>5003</v>
      </c>
      <c r="I12" s="169">
        <v>5001</v>
      </c>
      <c r="J12" t="s">
        <v>477</v>
      </c>
      <c r="K12" s="10">
        <v>1050</v>
      </c>
      <c r="L12" s="168" t="s">
        <v>479</v>
      </c>
    </row>
    <row r="13" spans="1:12">
      <c r="A13">
        <v>1018553</v>
      </c>
      <c r="B13">
        <v>5001</v>
      </c>
      <c r="C13" s="169" t="s">
        <v>135</v>
      </c>
      <c r="D13" t="s">
        <v>253</v>
      </c>
      <c r="E13" t="s">
        <v>468</v>
      </c>
      <c r="F13">
        <v>1019094</v>
      </c>
      <c r="I13" s="169"/>
      <c r="K13" s="10"/>
    </row>
    <row r="14" spans="1:12">
      <c r="K14" s="10"/>
    </row>
    <row r="15" spans="1:12">
      <c r="A15">
        <v>1018408</v>
      </c>
      <c r="B15">
        <v>2220</v>
      </c>
      <c r="C15">
        <v>5001</v>
      </c>
      <c r="D15" t="s">
        <v>244</v>
      </c>
      <c r="E15" t="s">
        <v>480</v>
      </c>
      <c r="G15">
        <v>1019053</v>
      </c>
      <c r="H15">
        <v>2220</v>
      </c>
      <c r="I15">
        <v>5001</v>
      </c>
      <c r="J15" t="s">
        <v>253</v>
      </c>
      <c r="K15" s="10">
        <v>240</v>
      </c>
      <c r="L15" s="217" t="s">
        <v>481</v>
      </c>
    </row>
    <row r="16" spans="1:12">
      <c r="A16">
        <v>1018498</v>
      </c>
      <c r="B16">
        <v>2220</v>
      </c>
      <c r="C16">
        <v>5001</v>
      </c>
      <c r="D16" t="s">
        <v>244</v>
      </c>
      <c r="E16" t="s">
        <v>480</v>
      </c>
      <c r="G16">
        <v>1019054</v>
      </c>
      <c r="H16">
        <v>2220</v>
      </c>
      <c r="I16">
        <v>5001</v>
      </c>
      <c r="J16" t="s">
        <v>253</v>
      </c>
      <c r="K16" s="10">
        <v>-100</v>
      </c>
      <c r="L16" s="217"/>
    </row>
    <row r="17" spans="1:12" ht="29.45" customHeight="1">
      <c r="A17">
        <v>1018684</v>
      </c>
      <c r="B17">
        <v>2220</v>
      </c>
      <c r="C17">
        <v>5001</v>
      </c>
      <c r="D17" t="s">
        <v>244</v>
      </c>
      <c r="E17" t="s">
        <v>480</v>
      </c>
      <c r="G17">
        <v>1019055</v>
      </c>
      <c r="H17">
        <v>2220</v>
      </c>
      <c r="I17">
        <v>5001</v>
      </c>
      <c r="J17" t="s">
        <v>253</v>
      </c>
      <c r="K17" s="10">
        <v>240</v>
      </c>
      <c r="L17" s="217"/>
    </row>
    <row r="18" spans="1:12">
      <c r="A18">
        <v>1017608</v>
      </c>
      <c r="B18">
        <v>2120</v>
      </c>
      <c r="C18">
        <v>5001</v>
      </c>
      <c r="D18" t="s">
        <v>253</v>
      </c>
      <c r="E18" t="s">
        <v>482</v>
      </c>
      <c r="G18">
        <v>1019097</v>
      </c>
      <c r="H18">
        <v>2120</v>
      </c>
      <c r="I18">
        <v>5001</v>
      </c>
      <c r="J18" t="s">
        <v>253</v>
      </c>
      <c r="K18" s="10">
        <v>69.62</v>
      </c>
      <c r="L18" s="168" t="s">
        <v>483</v>
      </c>
    </row>
    <row r="19" spans="1:12">
      <c r="K19" s="10"/>
    </row>
    <row r="20" spans="1:12" ht="14.45" customHeight="1">
      <c r="G20">
        <v>1019064</v>
      </c>
      <c r="H20">
        <v>1201</v>
      </c>
      <c r="I20">
        <v>5001</v>
      </c>
      <c r="J20" t="s">
        <v>253</v>
      </c>
      <c r="K20" s="10">
        <v>7260.8</v>
      </c>
      <c r="L20" s="168" t="s">
        <v>484</v>
      </c>
    </row>
    <row r="21" spans="1:12">
      <c r="K21" s="10"/>
    </row>
    <row r="22" spans="1:12">
      <c r="G22">
        <v>1019065</v>
      </c>
      <c r="H22">
        <v>5001</v>
      </c>
      <c r="I22">
        <v>5001</v>
      </c>
      <c r="K22" s="10">
        <v>782.86</v>
      </c>
      <c r="L22" s="168" t="s">
        <v>485</v>
      </c>
    </row>
    <row r="23" spans="1:12">
      <c r="G23">
        <v>1019066</v>
      </c>
      <c r="H23">
        <v>5001</v>
      </c>
      <c r="I23">
        <v>5001</v>
      </c>
      <c r="K23" s="10">
        <v>370.54</v>
      </c>
      <c r="L23" s="168" t="s">
        <v>486</v>
      </c>
    </row>
    <row r="24" spans="1:12">
      <c r="G24">
        <v>1019067</v>
      </c>
      <c r="H24">
        <v>5001</v>
      </c>
      <c r="I24">
        <v>5001</v>
      </c>
      <c r="K24" s="10">
        <v>0.85</v>
      </c>
      <c r="L24" s="168" t="s">
        <v>487</v>
      </c>
    </row>
    <row r="25" spans="1:12">
      <c r="H25">
        <v>5001</v>
      </c>
      <c r="I25">
        <v>5001</v>
      </c>
      <c r="K25" s="10">
        <v>12211.5</v>
      </c>
      <c r="L25" s="168" t="s">
        <v>488</v>
      </c>
    </row>
    <row r="26" spans="1:12">
      <c r="K26" s="10"/>
    </row>
    <row r="27" spans="1:12" ht="28.5">
      <c r="A27">
        <v>1017187</v>
      </c>
      <c r="B27">
        <v>5001</v>
      </c>
      <c r="C27">
        <v>6699</v>
      </c>
      <c r="D27" t="s">
        <v>489</v>
      </c>
      <c r="E27" t="s">
        <v>468</v>
      </c>
      <c r="F27">
        <v>1019068</v>
      </c>
      <c r="G27">
        <v>1019072</v>
      </c>
      <c r="H27">
        <v>5001</v>
      </c>
      <c r="I27" s="169" t="s">
        <v>308</v>
      </c>
      <c r="J27" t="s">
        <v>250</v>
      </c>
      <c r="K27" s="10">
        <v>293.5</v>
      </c>
      <c r="L27" s="168" t="s">
        <v>490</v>
      </c>
    </row>
    <row r="28" spans="1:12" ht="28.5">
      <c r="A28">
        <v>1017214</v>
      </c>
      <c r="B28">
        <v>5001</v>
      </c>
      <c r="C28">
        <v>6699</v>
      </c>
      <c r="D28" t="s">
        <v>489</v>
      </c>
      <c r="E28" t="s">
        <v>468</v>
      </c>
      <c r="F28">
        <v>1019069</v>
      </c>
      <c r="G28">
        <v>1019073</v>
      </c>
      <c r="H28">
        <v>5001</v>
      </c>
      <c r="I28" s="169" t="s">
        <v>326</v>
      </c>
      <c r="J28" t="s">
        <v>250</v>
      </c>
      <c r="K28" s="10">
        <v>100</v>
      </c>
      <c r="L28" s="168" t="s">
        <v>490</v>
      </c>
    </row>
    <row r="29" spans="1:12" ht="28.5">
      <c r="A29">
        <v>1017408</v>
      </c>
      <c r="B29">
        <v>6699</v>
      </c>
      <c r="C29">
        <v>5001</v>
      </c>
      <c r="D29" t="s">
        <v>489</v>
      </c>
      <c r="E29" t="s">
        <v>468</v>
      </c>
      <c r="F29">
        <v>1019070</v>
      </c>
      <c r="G29">
        <v>1019074</v>
      </c>
      <c r="H29" s="169" t="s">
        <v>326</v>
      </c>
      <c r="I29">
        <v>5001</v>
      </c>
      <c r="J29" t="s">
        <v>250</v>
      </c>
      <c r="K29" s="10">
        <v>-427.2</v>
      </c>
      <c r="L29" s="168" t="s">
        <v>490</v>
      </c>
    </row>
    <row r="30" spans="1:12" ht="28.5">
      <c r="A30">
        <v>1018510</v>
      </c>
      <c r="B30">
        <v>5001</v>
      </c>
      <c r="C30">
        <v>6699</v>
      </c>
      <c r="D30" t="s">
        <v>489</v>
      </c>
      <c r="E30" t="s">
        <v>468</v>
      </c>
      <c r="F30">
        <v>1019071</v>
      </c>
      <c r="G30">
        <v>1019075</v>
      </c>
      <c r="H30">
        <v>5001</v>
      </c>
      <c r="I30" s="169" t="s">
        <v>326</v>
      </c>
      <c r="J30" t="s">
        <v>250</v>
      </c>
      <c r="K30" s="10">
        <v>130.19</v>
      </c>
      <c r="L30" s="168" t="s">
        <v>490</v>
      </c>
    </row>
    <row r="31" spans="1:12">
      <c r="K31" s="10"/>
    </row>
    <row r="32" spans="1:12">
      <c r="G32">
        <v>1019076</v>
      </c>
      <c r="H32">
        <v>5001</v>
      </c>
      <c r="J32" t="s">
        <v>477</v>
      </c>
      <c r="K32" s="145">
        <v>1961.25</v>
      </c>
      <c r="L32" s="218" t="s">
        <v>491</v>
      </c>
    </row>
    <row r="33" spans="4:12">
      <c r="G33">
        <v>1019076</v>
      </c>
      <c r="H33">
        <v>5001</v>
      </c>
      <c r="J33" t="s">
        <v>253</v>
      </c>
      <c r="K33" s="10">
        <v>-1961.25</v>
      </c>
      <c r="L33" s="218"/>
    </row>
    <row r="34" spans="4:12">
      <c r="G34">
        <v>1019076</v>
      </c>
      <c r="I34" s="169" t="s">
        <v>144</v>
      </c>
      <c r="J34" t="s">
        <v>477</v>
      </c>
      <c r="K34" s="145">
        <v>1961.25</v>
      </c>
      <c r="L34" s="218"/>
    </row>
    <row r="35" spans="4:12">
      <c r="G35">
        <v>1019076</v>
      </c>
      <c r="I35" s="169" t="s">
        <v>138</v>
      </c>
      <c r="J35" t="s">
        <v>253</v>
      </c>
      <c r="K35" s="10">
        <v>-1961.25</v>
      </c>
      <c r="L35" s="218"/>
    </row>
    <row r="36" spans="4:12">
      <c r="G36">
        <v>1019076</v>
      </c>
      <c r="H36">
        <v>5001</v>
      </c>
      <c r="J36" t="s">
        <v>477</v>
      </c>
      <c r="K36" s="10">
        <v>683.5</v>
      </c>
      <c r="L36" s="218"/>
    </row>
    <row r="37" spans="4:12">
      <c r="G37">
        <v>1019076</v>
      </c>
      <c r="H37">
        <v>5001</v>
      </c>
      <c r="J37" t="s">
        <v>253</v>
      </c>
      <c r="K37" s="10">
        <v>-683.5</v>
      </c>
      <c r="L37" s="218"/>
    </row>
    <row r="38" spans="4:12">
      <c r="G38">
        <v>1019076</v>
      </c>
      <c r="I38" s="169" t="s">
        <v>142</v>
      </c>
      <c r="J38" t="s">
        <v>477</v>
      </c>
      <c r="K38" s="10">
        <v>683.5</v>
      </c>
      <c r="L38" s="218"/>
    </row>
    <row r="39" spans="4:12">
      <c r="G39">
        <v>1019076</v>
      </c>
      <c r="I39" s="169" t="s">
        <v>136</v>
      </c>
      <c r="J39" t="s">
        <v>253</v>
      </c>
      <c r="K39" s="10">
        <v>-683.5</v>
      </c>
      <c r="L39" s="218"/>
    </row>
    <row r="40" spans="4:12">
      <c r="D40" s="170"/>
      <c r="G40">
        <v>1019076</v>
      </c>
      <c r="H40">
        <v>5001</v>
      </c>
      <c r="J40" t="s">
        <v>477</v>
      </c>
      <c r="K40" s="10">
        <v>17618.310000000001</v>
      </c>
      <c r="L40" s="218"/>
    </row>
    <row r="41" spans="4:12">
      <c r="G41">
        <v>1019076</v>
      </c>
      <c r="H41">
        <v>5001</v>
      </c>
      <c r="J41" t="s">
        <v>253</v>
      </c>
      <c r="K41" s="10">
        <v>-17618.310000000001</v>
      </c>
      <c r="L41" s="218"/>
    </row>
    <row r="42" spans="4:12">
      <c r="G42">
        <v>1019076</v>
      </c>
      <c r="I42" s="169" t="s">
        <v>141</v>
      </c>
      <c r="J42" t="s">
        <v>477</v>
      </c>
      <c r="K42" s="10">
        <v>17618.310000000001</v>
      </c>
      <c r="L42" s="218"/>
    </row>
    <row r="43" spans="4:12">
      <c r="G43">
        <v>1019076</v>
      </c>
      <c r="I43" s="169" t="s">
        <v>135</v>
      </c>
      <c r="J43" t="s">
        <v>253</v>
      </c>
      <c r="K43" s="10">
        <v>-17618.310000000001</v>
      </c>
      <c r="L43" s="218"/>
    </row>
    <row r="44" spans="4:12">
      <c r="K44" s="10"/>
    </row>
    <row r="45" spans="4:12">
      <c r="G45">
        <v>1019077</v>
      </c>
      <c r="H45">
        <v>5001</v>
      </c>
      <c r="J45" t="s">
        <v>477</v>
      </c>
      <c r="K45" s="10">
        <v>12211.5</v>
      </c>
      <c r="L45" s="218" t="s">
        <v>492</v>
      </c>
    </row>
    <row r="46" spans="4:12">
      <c r="G46">
        <v>1019077</v>
      </c>
      <c r="H46">
        <v>5001</v>
      </c>
      <c r="J46" t="s">
        <v>253</v>
      </c>
      <c r="K46" s="10">
        <v>-12211.5</v>
      </c>
      <c r="L46" s="218"/>
    </row>
    <row r="47" spans="4:12">
      <c r="G47">
        <v>1019077</v>
      </c>
      <c r="I47" s="169" t="s">
        <v>141</v>
      </c>
      <c r="J47" t="s">
        <v>477</v>
      </c>
      <c r="K47" s="10">
        <v>12211.5</v>
      </c>
      <c r="L47" s="218"/>
    </row>
    <row r="48" spans="4:12">
      <c r="G48">
        <v>1019077</v>
      </c>
      <c r="I48" s="169" t="s">
        <v>141</v>
      </c>
      <c r="J48" t="s">
        <v>253</v>
      </c>
      <c r="K48" s="10">
        <v>-12211.5</v>
      </c>
      <c r="L48" s="218"/>
    </row>
    <row r="49" spans="1:11">
      <c r="K49" s="10"/>
    </row>
    <row r="50" spans="1:11">
      <c r="A50" t="s">
        <v>459</v>
      </c>
      <c r="B50" t="s">
        <v>493</v>
      </c>
      <c r="C50" t="s">
        <v>494</v>
      </c>
      <c r="K50" s="10"/>
    </row>
    <row r="51" spans="1:11">
      <c r="A51">
        <v>1018428</v>
      </c>
      <c r="B51" s="102">
        <v>43735</v>
      </c>
      <c r="C51" s="102">
        <v>43704</v>
      </c>
      <c r="K51" s="10"/>
    </row>
    <row r="52" spans="1:11">
      <c r="A52">
        <v>1018443</v>
      </c>
      <c r="B52" s="102">
        <v>43738</v>
      </c>
      <c r="C52" s="102">
        <v>43707</v>
      </c>
      <c r="K52" s="10"/>
    </row>
    <row r="53" spans="1:11">
      <c r="A53">
        <v>1018429</v>
      </c>
      <c r="B53" s="102">
        <v>43735</v>
      </c>
      <c r="C53" s="102">
        <v>43704</v>
      </c>
      <c r="K53" s="10"/>
    </row>
    <row r="54" spans="1:11">
      <c r="A54">
        <v>1018430</v>
      </c>
      <c r="B54" s="102">
        <v>43735</v>
      </c>
      <c r="C54" s="102">
        <v>43704</v>
      </c>
    </row>
    <row r="55" spans="1:11">
      <c r="A55">
        <v>1018431</v>
      </c>
      <c r="B55" s="102">
        <v>43735</v>
      </c>
      <c r="C55" s="102">
        <v>43704</v>
      </c>
    </row>
    <row r="56" spans="1:11">
      <c r="A56">
        <v>1018432</v>
      </c>
      <c r="B56" s="102">
        <v>43735</v>
      </c>
      <c r="C56" s="102">
        <v>43704</v>
      </c>
    </row>
    <row r="57" spans="1:11">
      <c r="A57">
        <v>1018433</v>
      </c>
      <c r="B57" s="102">
        <v>43735</v>
      </c>
      <c r="C57" s="102">
        <v>43704</v>
      </c>
    </row>
    <row r="58" spans="1:11">
      <c r="A58">
        <v>1018434</v>
      </c>
      <c r="B58" s="102">
        <v>43735</v>
      </c>
      <c r="C58" s="102">
        <v>43704</v>
      </c>
    </row>
    <row r="59" spans="1:11">
      <c r="A59">
        <v>1018435</v>
      </c>
      <c r="B59" s="102">
        <v>43735</v>
      </c>
      <c r="C59" s="102">
        <v>43704</v>
      </c>
    </row>
    <row r="60" spans="1:11">
      <c r="A60">
        <v>1018436</v>
      </c>
      <c r="B60" s="102">
        <v>43735</v>
      </c>
      <c r="C60" s="102">
        <v>43704</v>
      </c>
    </row>
    <row r="61" spans="1:11">
      <c r="A61">
        <v>1018437</v>
      </c>
      <c r="B61" s="102">
        <v>43735</v>
      </c>
      <c r="C61" s="102">
        <v>43704</v>
      </c>
    </row>
    <row r="62" spans="1:11">
      <c r="A62">
        <v>1018438</v>
      </c>
      <c r="B62" s="102">
        <v>43736</v>
      </c>
      <c r="C62" s="102">
        <v>43705</v>
      </c>
    </row>
    <row r="63" spans="1:11">
      <c r="A63">
        <v>1018439</v>
      </c>
      <c r="B63" s="102">
        <v>43736</v>
      </c>
      <c r="C63" s="102">
        <v>43705</v>
      </c>
    </row>
    <row r="64" spans="1:11">
      <c r="A64">
        <v>1018440</v>
      </c>
      <c r="B64" s="102">
        <v>43736</v>
      </c>
      <c r="C64" s="102">
        <v>43705</v>
      </c>
    </row>
    <row r="65" spans="1:3">
      <c r="A65">
        <v>1018441</v>
      </c>
      <c r="B65" s="102">
        <v>43738</v>
      </c>
      <c r="C65" s="102">
        <v>43707</v>
      </c>
    </row>
    <row r="66" spans="1:3">
      <c r="A66">
        <v>1018442</v>
      </c>
      <c r="B66" s="102">
        <v>43738</v>
      </c>
      <c r="C66" s="102">
        <v>43707</v>
      </c>
    </row>
  </sheetData>
  <mergeCells count="3">
    <mergeCell ref="L15:L17"/>
    <mergeCell ref="L32:L43"/>
    <mergeCell ref="L45:L48"/>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T64"/>
  <sheetViews>
    <sheetView zoomScaleNormal="100" workbookViewId="0">
      <selection activeCell="G35" sqref="G35"/>
    </sheetView>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8.5703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495</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SUM(C26:C27)</f>
        <v>0</v>
      </c>
      <c r="D28" s="57">
        <f t="shared" ref="D28:O28" si="3">SUM(D26:D27)</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SUM(C47:N47)</f>
        <v>0</v>
      </c>
    </row>
    <row r="48" spans="1:20">
      <c r="A48" s="53" t="s">
        <v>73</v>
      </c>
      <c r="B48" s="59" t="s">
        <v>153</v>
      </c>
      <c r="C48" s="54"/>
      <c r="D48" s="54"/>
      <c r="E48" s="54"/>
      <c r="F48" s="54"/>
      <c r="G48" s="54"/>
      <c r="H48" s="54"/>
      <c r="I48" s="54"/>
      <c r="J48" s="54"/>
      <c r="K48" s="54"/>
      <c r="L48" s="54"/>
      <c r="M48" s="54"/>
      <c r="N48" s="54"/>
      <c r="O48" s="54">
        <f>SUM(C48:N48)</f>
        <v>0</v>
      </c>
    </row>
    <row r="49" spans="1:16">
      <c r="A49" s="60" t="s">
        <v>74</v>
      </c>
      <c r="C49" s="57">
        <f>SUM(C47:C48)</f>
        <v>0</v>
      </c>
      <c r="D49" s="57">
        <f t="shared" ref="D49:O49" si="8">SUM(D47:D48)</f>
        <v>0</v>
      </c>
      <c r="E49" s="57">
        <f t="shared" si="8"/>
        <v>0</v>
      </c>
      <c r="F49" s="57">
        <f t="shared" si="8"/>
        <v>0</v>
      </c>
      <c r="G49" s="57">
        <f t="shared" si="8"/>
        <v>0</v>
      </c>
      <c r="H49" s="57">
        <f t="shared" si="8"/>
        <v>0</v>
      </c>
      <c r="I49" s="57">
        <f t="shared" si="8"/>
        <v>0</v>
      </c>
      <c r="J49" s="57">
        <f t="shared" si="8"/>
        <v>0</v>
      </c>
      <c r="K49" s="57">
        <f t="shared" si="8"/>
        <v>0</v>
      </c>
      <c r="L49" s="57">
        <f t="shared" si="8"/>
        <v>0</v>
      </c>
      <c r="M49" s="57">
        <f t="shared" si="8"/>
        <v>0</v>
      </c>
      <c r="N49" s="57">
        <f t="shared" si="8"/>
        <v>0</v>
      </c>
      <c r="O49" s="57">
        <f t="shared" si="8"/>
        <v>0</v>
      </c>
    </row>
    <row r="50" spans="1:16">
      <c r="C50" s="54"/>
      <c r="D50" s="54"/>
      <c r="E50" s="54"/>
      <c r="F50" s="54"/>
      <c r="G50" s="54"/>
      <c r="H50" s="54"/>
      <c r="I50" s="54"/>
      <c r="J50" s="54"/>
      <c r="K50" s="54"/>
      <c r="L50" s="54"/>
      <c r="M50" s="54"/>
      <c r="N50" s="54"/>
      <c r="O50" s="54"/>
    </row>
    <row r="51" spans="1:16" ht="14.65" thickBot="1">
      <c r="A51" s="50" t="s">
        <v>75</v>
      </c>
      <c r="C51" s="62">
        <f>C49+C44+C40</f>
        <v>0</v>
      </c>
      <c r="D51" s="62">
        <f t="shared" ref="D51:O51" si="9">D49+D44+D40</f>
        <v>0</v>
      </c>
      <c r="E51" s="62">
        <f t="shared" si="9"/>
        <v>0</v>
      </c>
      <c r="F51" s="62">
        <f t="shared" si="9"/>
        <v>0</v>
      </c>
      <c r="G51" s="62">
        <f t="shared" si="9"/>
        <v>0</v>
      </c>
      <c r="H51" s="62">
        <f t="shared" si="9"/>
        <v>0</v>
      </c>
      <c r="I51" s="62">
        <f t="shared" si="9"/>
        <v>0</v>
      </c>
      <c r="J51" s="62">
        <f t="shared" si="9"/>
        <v>0</v>
      </c>
      <c r="K51" s="62">
        <f t="shared" si="9"/>
        <v>0</v>
      </c>
      <c r="L51" s="62">
        <f t="shared" si="9"/>
        <v>0</v>
      </c>
      <c r="M51" s="62">
        <f t="shared" si="9"/>
        <v>0</v>
      </c>
      <c r="N51" s="62">
        <f t="shared" si="9"/>
        <v>0</v>
      </c>
      <c r="O51" s="62">
        <f t="shared" si="9"/>
        <v>0</v>
      </c>
    </row>
    <row r="52" spans="1:16">
      <c r="C52" s="54"/>
      <c r="D52" s="54"/>
      <c r="E52" s="54"/>
      <c r="F52" s="54"/>
      <c r="G52" s="54"/>
      <c r="H52" s="54"/>
      <c r="I52" s="54"/>
      <c r="J52" s="54"/>
      <c r="K52" s="54"/>
      <c r="L52" s="54"/>
      <c r="M52" s="54"/>
      <c r="N52" s="54"/>
      <c r="O52" s="54"/>
    </row>
    <row r="53" spans="1:16">
      <c r="A53" s="44" t="s">
        <v>76</v>
      </c>
      <c r="C53" s="54"/>
      <c r="D53" s="54"/>
      <c r="E53" s="54"/>
      <c r="F53" s="54"/>
      <c r="G53" s="54"/>
      <c r="H53" s="54"/>
      <c r="I53" s="54"/>
      <c r="J53" s="54"/>
      <c r="K53" s="54"/>
      <c r="L53" s="54"/>
      <c r="M53" s="54"/>
      <c r="N53" s="54"/>
      <c r="O53" s="54"/>
    </row>
    <row r="54" spans="1:16">
      <c r="A54" s="53" t="s">
        <v>77</v>
      </c>
      <c r="B54" s="49" t="s">
        <v>154</v>
      </c>
      <c r="C54" s="54"/>
      <c r="D54" s="54"/>
      <c r="E54" s="54"/>
      <c r="F54" s="54"/>
      <c r="G54" s="54"/>
      <c r="H54" s="54"/>
      <c r="I54" s="54"/>
      <c r="J54" s="54"/>
      <c r="K54" s="54"/>
      <c r="L54" s="54"/>
      <c r="M54" s="54"/>
      <c r="N54" s="54"/>
      <c r="O54" s="54">
        <f>SUM(C54:N54)</f>
        <v>0</v>
      </c>
    </row>
    <row r="55" spans="1:16">
      <c r="A55" s="53" t="s">
        <v>378</v>
      </c>
      <c r="B55" s="59" t="s">
        <v>155</v>
      </c>
      <c r="C55" s="54"/>
      <c r="D55" s="54"/>
      <c r="E55" s="54"/>
      <c r="F55" s="54"/>
      <c r="G55" s="54"/>
      <c r="H55" s="54"/>
      <c r="I55" s="54"/>
      <c r="J55" s="54"/>
      <c r="K55" s="54"/>
      <c r="L55" s="54"/>
      <c r="M55" s="54"/>
      <c r="N55" s="54"/>
      <c r="O55" s="54">
        <f>SUM(C55:N55)</f>
        <v>0</v>
      </c>
    </row>
    <row r="56" spans="1:16">
      <c r="A56" s="53" t="s">
        <v>79</v>
      </c>
      <c r="B56" s="59" t="s">
        <v>156</v>
      </c>
      <c r="C56" s="54"/>
      <c r="D56" s="54"/>
      <c r="E56" s="54"/>
      <c r="F56" s="54"/>
      <c r="G56" s="54"/>
      <c r="H56" s="54"/>
      <c r="I56" s="54"/>
      <c r="J56" s="54"/>
      <c r="K56" s="54"/>
      <c r="L56" s="54"/>
      <c r="M56" s="54"/>
      <c r="N56" s="54"/>
      <c r="O56" s="54">
        <f>SUM(C56:N56)</f>
        <v>0</v>
      </c>
    </row>
    <row r="57" spans="1:16">
      <c r="A57" s="53" t="s">
        <v>496</v>
      </c>
      <c r="B57" s="59" t="s">
        <v>157</v>
      </c>
      <c r="C57" s="54"/>
      <c r="D57" s="54"/>
      <c r="E57" s="54"/>
      <c r="F57" s="54"/>
      <c r="G57" s="54"/>
      <c r="H57" s="54"/>
      <c r="I57" s="54"/>
      <c r="J57" s="54"/>
      <c r="K57" s="54"/>
      <c r="L57" s="54"/>
      <c r="M57" s="54"/>
      <c r="N57" s="54"/>
      <c r="O57" s="54">
        <f>SUM(C57:N57)</f>
        <v>0</v>
      </c>
    </row>
    <row r="58" spans="1:16">
      <c r="A58" s="53" t="s">
        <v>158</v>
      </c>
      <c r="B58" s="59"/>
      <c r="C58" s="54"/>
      <c r="D58" s="54"/>
      <c r="E58" s="54"/>
      <c r="F58" s="54"/>
      <c r="G58" s="54"/>
      <c r="H58" s="54"/>
      <c r="I58" s="54"/>
      <c r="J58" s="54"/>
      <c r="K58" s="54"/>
      <c r="L58" s="54"/>
      <c r="M58" s="54"/>
      <c r="N58" s="54"/>
      <c r="O58" s="54"/>
    </row>
    <row r="59" spans="1:16" ht="28.5">
      <c r="A59" s="53" t="s">
        <v>81</v>
      </c>
      <c r="B59" s="63" t="s">
        <v>497</v>
      </c>
      <c r="C59" s="54"/>
      <c r="D59" s="54"/>
      <c r="E59" s="54"/>
      <c r="F59" s="54"/>
      <c r="G59" s="54"/>
      <c r="H59" s="54"/>
      <c r="I59" s="54"/>
      <c r="J59" s="54"/>
      <c r="K59" s="54"/>
      <c r="L59" s="54"/>
      <c r="M59" s="54"/>
      <c r="N59" s="54"/>
      <c r="O59" s="54">
        <f>SUM(C59:N59)</f>
        <v>0</v>
      </c>
    </row>
    <row r="60" spans="1:16" ht="14.65" thickBot="1">
      <c r="A60" s="50" t="s">
        <v>82</v>
      </c>
      <c r="B60" s="55"/>
      <c r="C60" s="64">
        <f>SUM(C54:C59)</f>
        <v>0</v>
      </c>
      <c r="D60" s="64">
        <f t="shared" ref="D60:O60" si="10">SUM(D54:D59)</f>
        <v>0</v>
      </c>
      <c r="E60" s="64">
        <f t="shared" si="10"/>
        <v>0</v>
      </c>
      <c r="F60" s="64">
        <f t="shared" si="10"/>
        <v>0</v>
      </c>
      <c r="G60" s="64">
        <f t="shared" si="10"/>
        <v>0</v>
      </c>
      <c r="H60" s="64">
        <f t="shared" si="10"/>
        <v>0</v>
      </c>
      <c r="I60" s="64">
        <f t="shared" si="10"/>
        <v>0</v>
      </c>
      <c r="J60" s="64">
        <f t="shared" si="10"/>
        <v>0</v>
      </c>
      <c r="K60" s="64">
        <f t="shared" si="10"/>
        <v>0</v>
      </c>
      <c r="L60" s="64">
        <f t="shared" si="10"/>
        <v>0</v>
      </c>
      <c r="M60" s="64">
        <f t="shared" si="10"/>
        <v>0</v>
      </c>
      <c r="N60" s="64">
        <f t="shared" si="10"/>
        <v>0</v>
      </c>
      <c r="O60" s="64">
        <f t="shared" si="10"/>
        <v>0</v>
      </c>
    </row>
    <row r="61" spans="1:16">
      <c r="C61" s="54"/>
      <c r="D61" s="54"/>
      <c r="E61" s="54"/>
      <c r="F61" s="54"/>
      <c r="G61" s="54"/>
      <c r="H61" s="54"/>
      <c r="I61" s="54"/>
      <c r="J61" s="54"/>
      <c r="K61" s="54"/>
      <c r="L61" s="54"/>
      <c r="M61" s="54"/>
      <c r="N61" s="54"/>
      <c r="O61" s="54"/>
    </row>
    <row r="62" spans="1:16" ht="14.65" thickBot="1">
      <c r="A62" s="50" t="s">
        <v>83</v>
      </c>
      <c r="B62" s="55"/>
      <c r="C62" s="64">
        <f>C51+C60</f>
        <v>0</v>
      </c>
      <c r="D62" s="64">
        <f t="shared" ref="D62:O62" si="11">D51+D60</f>
        <v>0</v>
      </c>
      <c r="E62" s="64">
        <f t="shared" si="11"/>
        <v>0</v>
      </c>
      <c r="F62" s="64">
        <f t="shared" si="11"/>
        <v>0</v>
      </c>
      <c r="G62" s="64">
        <f t="shared" si="11"/>
        <v>0</v>
      </c>
      <c r="H62" s="64">
        <f t="shared" si="11"/>
        <v>0</v>
      </c>
      <c r="I62" s="64">
        <f t="shared" si="11"/>
        <v>0</v>
      </c>
      <c r="J62" s="64">
        <f t="shared" si="11"/>
        <v>0</v>
      </c>
      <c r="K62" s="64">
        <f t="shared" si="11"/>
        <v>0</v>
      </c>
      <c r="L62" s="64">
        <f t="shared" si="11"/>
        <v>0</v>
      </c>
      <c r="M62" s="64">
        <f t="shared" si="11"/>
        <v>0</v>
      </c>
      <c r="N62" s="64">
        <f t="shared" si="11"/>
        <v>0</v>
      </c>
      <c r="O62" s="64">
        <f t="shared" si="11"/>
        <v>0</v>
      </c>
    </row>
    <row r="64" spans="1:16" s="65" customFormat="1" ht="14.65" thickBot="1">
      <c r="A64" s="65" t="s">
        <v>160</v>
      </c>
      <c r="B64" s="66"/>
      <c r="C64" s="67">
        <f>C62-'Expend - FlowerFund'!C64</f>
        <v>0</v>
      </c>
      <c r="D64" s="67">
        <f>D62-'Expend - FlowerFund'!D64</f>
        <v>0</v>
      </c>
      <c r="E64" s="67">
        <f>E62-'Expend - FlowerFund'!E64</f>
        <v>0</v>
      </c>
      <c r="F64" s="67">
        <f>F62-'Expend - FlowerFund'!F64</f>
        <v>0</v>
      </c>
      <c r="G64" s="67">
        <f>G62-'Expend - FlowerFund'!G64</f>
        <v>0</v>
      </c>
      <c r="H64" s="67">
        <f>H62-'Expend - FlowerFund'!H64</f>
        <v>0</v>
      </c>
      <c r="I64" s="67">
        <f>I62-'Expend - FlowerFund'!I64</f>
        <v>0</v>
      </c>
      <c r="J64" s="67">
        <f>J62-'Expend - FlowerFund'!J64</f>
        <v>0</v>
      </c>
      <c r="K64" s="67">
        <f>K62-'Expend - FlowerFund'!K64</f>
        <v>0</v>
      </c>
      <c r="L64" s="67">
        <f>L62-'Expend - FlowerFund'!L64</f>
        <v>0</v>
      </c>
      <c r="M64" s="67">
        <f>M62-'Expend - FlowerFund'!M64</f>
        <v>0</v>
      </c>
      <c r="N64" s="67">
        <f>N62-'Expend - FlowerFund'!N64</f>
        <v>0</v>
      </c>
      <c r="O64" s="101">
        <f>O62-'Expend - FlowerFund'!O64</f>
        <v>0</v>
      </c>
      <c r="P64" s="48"/>
    </row>
  </sheetData>
  <pageMargins left="0.70866141732283472" right="0.70866141732283472" top="0.74803149606299213" bottom="0.74803149606299213" header="0.31496062992125984" footer="0.31496062992125984"/>
  <pageSetup paperSize="9" scale="50" orientation="landscape" r:id="rId1"/>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S75"/>
  <sheetViews>
    <sheetView zoomScaleNormal="100" workbookViewId="0">
      <selection activeCell="D24" sqref="D24"/>
    </sheetView>
  </sheetViews>
  <sheetFormatPr defaultRowHeight="14.25"/>
  <cols>
    <col min="1" max="1" width="34.42578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498</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3" orientation="landscape" r:id="rId1"/>
  <headerFooter alignWithMargins="0"/>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T64"/>
  <sheetViews>
    <sheetView zoomScaleNormal="100" workbookViewId="0">
      <selection activeCell="C35" sqref="C35"/>
    </sheetView>
  </sheetViews>
  <sheetFormatPr defaultColWidth="9" defaultRowHeight="14.25"/>
  <cols>
    <col min="1" max="1" width="47.5703125" style="48" bestFit="1" customWidth="1"/>
    <col min="2" max="2" width="10" style="49" bestFit="1" customWidth="1"/>
    <col min="3" max="7" width="8.5703125" style="47" customWidth="1"/>
    <col min="8" max="8" width="10.5703125" style="47" customWidth="1"/>
    <col min="9" max="14" width="8.5703125" style="47" customWidth="1"/>
    <col min="15" max="15" width="11.42578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500</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SUM(C26:C27)</f>
        <v>0</v>
      </c>
      <c r="D28" s="57">
        <f t="shared" ref="D28:O28" si="3">SUM(D26:D27)</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148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O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 t="shared" si="6"/>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SUM(C47:N47)</f>
        <v>0</v>
      </c>
    </row>
    <row r="48" spans="1:20">
      <c r="A48" s="53" t="s">
        <v>73</v>
      </c>
      <c r="B48" s="59" t="s">
        <v>153</v>
      </c>
      <c r="C48" s="54"/>
      <c r="D48" s="54"/>
      <c r="E48" s="54"/>
      <c r="F48" s="54"/>
      <c r="G48" s="54"/>
      <c r="H48" s="54"/>
      <c r="I48" s="54"/>
      <c r="J48" s="54"/>
      <c r="K48" s="54"/>
      <c r="L48" s="54"/>
      <c r="M48" s="54"/>
      <c r="N48" s="54"/>
      <c r="O48" s="54">
        <f>SUM(C48:N48)</f>
        <v>0</v>
      </c>
    </row>
    <row r="49" spans="1:15">
      <c r="A49" s="60" t="s">
        <v>74</v>
      </c>
      <c r="C49" s="57">
        <f>SUM(C47:C48)</f>
        <v>0</v>
      </c>
      <c r="D49" s="57">
        <f t="shared" ref="D49:O49" si="8">SUM(D47:D48)</f>
        <v>0</v>
      </c>
      <c r="E49" s="57">
        <f t="shared" si="8"/>
        <v>0</v>
      </c>
      <c r="F49" s="57">
        <f t="shared" si="8"/>
        <v>0</v>
      </c>
      <c r="G49" s="57">
        <f t="shared" si="8"/>
        <v>0</v>
      </c>
      <c r="H49" s="57">
        <f t="shared" si="8"/>
        <v>0</v>
      </c>
      <c r="I49" s="57">
        <f t="shared" si="8"/>
        <v>0</v>
      </c>
      <c r="J49" s="57">
        <f t="shared" si="8"/>
        <v>0</v>
      </c>
      <c r="K49" s="57">
        <f t="shared" si="8"/>
        <v>0</v>
      </c>
      <c r="L49" s="57">
        <f t="shared" si="8"/>
        <v>0</v>
      </c>
      <c r="M49" s="57">
        <f t="shared" si="8"/>
        <v>0</v>
      </c>
      <c r="N49" s="57">
        <f t="shared" si="8"/>
        <v>0</v>
      </c>
      <c r="O49" s="57">
        <f t="shared" si="8"/>
        <v>0</v>
      </c>
    </row>
    <row r="50" spans="1:15">
      <c r="C50" s="54"/>
      <c r="D50" s="54"/>
      <c r="E50" s="54"/>
      <c r="F50" s="54"/>
      <c r="G50" s="54"/>
      <c r="H50" s="54"/>
      <c r="I50" s="54"/>
      <c r="J50" s="54"/>
      <c r="K50" s="54"/>
      <c r="L50" s="54"/>
      <c r="M50" s="54"/>
      <c r="N50" s="54"/>
      <c r="O50" s="54"/>
    </row>
    <row r="51" spans="1:15" ht="14.65" thickBot="1">
      <c r="A51" s="50" t="s">
        <v>75</v>
      </c>
      <c r="C51" s="62">
        <f>C49+C44+C40</f>
        <v>0</v>
      </c>
      <c r="D51" s="62">
        <f t="shared" ref="D51:O51" si="9">D49+D44+D40</f>
        <v>0</v>
      </c>
      <c r="E51" s="62">
        <f t="shared" si="9"/>
        <v>0</v>
      </c>
      <c r="F51" s="62">
        <f t="shared" si="9"/>
        <v>0</v>
      </c>
      <c r="G51" s="62">
        <f t="shared" si="9"/>
        <v>0</v>
      </c>
      <c r="H51" s="62">
        <f t="shared" si="9"/>
        <v>0</v>
      </c>
      <c r="I51" s="62">
        <f t="shared" si="9"/>
        <v>0</v>
      </c>
      <c r="J51" s="62">
        <f t="shared" si="9"/>
        <v>0</v>
      </c>
      <c r="K51" s="62">
        <f t="shared" si="9"/>
        <v>0</v>
      </c>
      <c r="L51" s="62">
        <f t="shared" si="9"/>
        <v>0</v>
      </c>
      <c r="M51" s="62">
        <f t="shared" si="9"/>
        <v>0</v>
      </c>
      <c r="N51" s="62">
        <f t="shared" si="9"/>
        <v>0</v>
      </c>
      <c r="O51" s="62">
        <f t="shared" si="9"/>
        <v>0</v>
      </c>
    </row>
    <row r="52" spans="1:15">
      <c r="C52" s="54"/>
      <c r="D52" s="54"/>
      <c r="E52" s="54"/>
      <c r="F52" s="54"/>
      <c r="G52" s="54"/>
      <c r="H52" s="54"/>
      <c r="I52" s="54"/>
      <c r="J52" s="54"/>
      <c r="K52" s="54"/>
      <c r="L52" s="54"/>
      <c r="M52" s="54"/>
      <c r="N52" s="54"/>
      <c r="O52" s="54"/>
    </row>
    <row r="53" spans="1:15">
      <c r="A53" s="44" t="s">
        <v>76</v>
      </c>
      <c r="C53" s="54"/>
      <c r="D53" s="54"/>
      <c r="E53" s="54"/>
      <c r="F53" s="54"/>
      <c r="G53" s="54"/>
      <c r="H53" s="54"/>
      <c r="I53" s="54"/>
      <c r="J53" s="54"/>
      <c r="K53" s="54"/>
      <c r="L53" s="54"/>
      <c r="M53" s="54"/>
      <c r="N53" s="54"/>
      <c r="O53" s="54"/>
    </row>
    <row r="54" spans="1:15">
      <c r="A54" s="53" t="s">
        <v>77</v>
      </c>
      <c r="B54" s="49" t="s">
        <v>154</v>
      </c>
      <c r="C54" s="54"/>
      <c r="D54" s="54"/>
      <c r="E54" s="54"/>
      <c r="F54" s="54"/>
      <c r="G54" s="54"/>
      <c r="H54" s="54"/>
      <c r="I54" s="54"/>
      <c r="J54" s="54"/>
      <c r="K54" s="54"/>
      <c r="L54" s="54"/>
      <c r="M54" s="54"/>
      <c r="N54" s="54"/>
      <c r="O54" s="54">
        <f>SUM(C54:N54)</f>
        <v>0</v>
      </c>
    </row>
    <row r="55" spans="1:15">
      <c r="A55" s="53" t="s">
        <v>378</v>
      </c>
      <c r="B55" s="59" t="s">
        <v>155</v>
      </c>
      <c r="C55" s="54"/>
      <c r="D55" s="54"/>
      <c r="E55" s="54"/>
      <c r="F55" s="54"/>
      <c r="G55" s="54"/>
      <c r="H55" s="54"/>
      <c r="I55" s="54"/>
      <c r="J55" s="54"/>
      <c r="K55" s="54"/>
      <c r="L55" s="54"/>
      <c r="M55" s="54"/>
      <c r="N55" s="54"/>
      <c r="O55" s="54">
        <f>SUM(C55:N55)</f>
        <v>0</v>
      </c>
    </row>
    <row r="56" spans="1:15">
      <c r="A56" s="53" t="s">
        <v>79</v>
      </c>
      <c r="B56" s="59" t="s">
        <v>156</v>
      </c>
      <c r="C56" s="54"/>
      <c r="D56" s="54"/>
      <c r="E56" s="54"/>
      <c r="F56" s="54"/>
      <c r="G56" s="54"/>
      <c r="H56" s="54"/>
      <c r="I56" s="54"/>
      <c r="J56" s="54"/>
      <c r="K56" s="54"/>
      <c r="L56" s="54"/>
      <c r="M56" s="54"/>
      <c r="N56" s="54"/>
      <c r="O56" s="54">
        <f>SUM(C56:N56)</f>
        <v>0</v>
      </c>
    </row>
    <row r="57" spans="1:15">
      <c r="A57" s="53" t="s">
        <v>496</v>
      </c>
      <c r="B57" s="59" t="s">
        <v>157</v>
      </c>
      <c r="C57" s="54"/>
      <c r="D57" s="54"/>
      <c r="E57" s="54"/>
      <c r="F57" s="54"/>
      <c r="G57" s="54"/>
      <c r="H57" s="54"/>
      <c r="I57" s="54"/>
      <c r="J57" s="54"/>
      <c r="K57" s="54"/>
      <c r="L57" s="54"/>
      <c r="M57" s="54"/>
      <c r="N57" s="54"/>
      <c r="O57" s="54">
        <f>SUM(C57:N57)</f>
        <v>0</v>
      </c>
    </row>
    <row r="58" spans="1:15">
      <c r="A58" s="53" t="s">
        <v>158</v>
      </c>
      <c r="B58" s="59"/>
      <c r="C58" s="54"/>
      <c r="D58" s="54"/>
      <c r="E58" s="54"/>
      <c r="F58" s="54"/>
      <c r="G58" s="54"/>
      <c r="H58" s="54"/>
      <c r="I58" s="54"/>
      <c r="J58" s="54"/>
      <c r="K58" s="54"/>
      <c r="L58" s="54"/>
      <c r="M58" s="54"/>
      <c r="N58" s="54"/>
      <c r="O58" s="54"/>
    </row>
    <row r="59" spans="1:15" ht="28.5">
      <c r="A59" s="53" t="s">
        <v>81</v>
      </c>
      <c r="B59" s="63" t="s">
        <v>497</v>
      </c>
      <c r="C59" s="54"/>
      <c r="D59" s="54"/>
      <c r="E59" s="54"/>
      <c r="F59" s="54"/>
      <c r="G59" s="54"/>
      <c r="H59" s="54"/>
      <c r="I59" s="54"/>
      <c r="J59" s="54"/>
      <c r="K59" s="54"/>
      <c r="L59" s="54"/>
      <c r="M59" s="54"/>
      <c r="N59" s="54"/>
      <c r="O59" s="54">
        <f>SUM(C59:N59)</f>
        <v>0</v>
      </c>
    </row>
    <row r="60" spans="1:15" ht="14.65" thickBot="1">
      <c r="A60" s="50" t="s">
        <v>82</v>
      </c>
      <c r="B60" s="55"/>
      <c r="C60" s="64">
        <f>SUM(C54:C59)</f>
        <v>0</v>
      </c>
      <c r="D60" s="64">
        <f t="shared" ref="D60:O60" si="10">SUM(D54:D59)</f>
        <v>0</v>
      </c>
      <c r="E60" s="64">
        <f t="shared" si="10"/>
        <v>0</v>
      </c>
      <c r="F60" s="64">
        <f t="shared" si="10"/>
        <v>0</v>
      </c>
      <c r="G60" s="64">
        <f t="shared" si="10"/>
        <v>0</v>
      </c>
      <c r="H60" s="64">
        <f t="shared" si="10"/>
        <v>0</v>
      </c>
      <c r="I60" s="64">
        <f t="shared" si="10"/>
        <v>0</v>
      </c>
      <c r="J60" s="64">
        <f t="shared" si="10"/>
        <v>0</v>
      </c>
      <c r="K60" s="64">
        <f t="shared" si="10"/>
        <v>0</v>
      </c>
      <c r="L60" s="64">
        <f t="shared" si="10"/>
        <v>0</v>
      </c>
      <c r="M60" s="64">
        <f t="shared" si="10"/>
        <v>0</v>
      </c>
      <c r="N60" s="64">
        <f t="shared" si="10"/>
        <v>0</v>
      </c>
      <c r="O60" s="64">
        <f t="shared" si="10"/>
        <v>0</v>
      </c>
    </row>
    <row r="61" spans="1:15">
      <c r="C61" s="54"/>
      <c r="D61" s="54"/>
      <c r="E61" s="54"/>
      <c r="F61" s="54"/>
      <c r="G61" s="54"/>
      <c r="H61" s="54"/>
      <c r="I61" s="54"/>
      <c r="J61" s="54"/>
      <c r="K61" s="54"/>
      <c r="L61" s="54"/>
      <c r="M61" s="54"/>
      <c r="N61" s="54"/>
      <c r="O61" s="54"/>
    </row>
    <row r="62" spans="1:15" ht="14.65" thickBot="1">
      <c r="A62" s="50" t="s">
        <v>83</v>
      </c>
      <c r="B62" s="55"/>
      <c r="C62" s="64">
        <f>C51+C60</f>
        <v>0</v>
      </c>
      <c r="D62" s="64">
        <f t="shared" ref="D62:O62" si="11">D51+D60</f>
        <v>0</v>
      </c>
      <c r="E62" s="64">
        <f t="shared" si="11"/>
        <v>0</v>
      </c>
      <c r="F62" s="64">
        <f t="shared" si="11"/>
        <v>0</v>
      </c>
      <c r="G62" s="64">
        <f t="shared" si="11"/>
        <v>0</v>
      </c>
      <c r="H62" s="64">
        <f t="shared" si="11"/>
        <v>0</v>
      </c>
      <c r="I62" s="64">
        <f t="shared" si="11"/>
        <v>0</v>
      </c>
      <c r="J62" s="64">
        <f t="shared" si="11"/>
        <v>0</v>
      </c>
      <c r="K62" s="64">
        <f t="shared" si="11"/>
        <v>0</v>
      </c>
      <c r="L62" s="64">
        <f t="shared" si="11"/>
        <v>0</v>
      </c>
      <c r="M62" s="64">
        <f t="shared" si="11"/>
        <v>0</v>
      </c>
      <c r="N62" s="64">
        <f t="shared" si="11"/>
        <v>0</v>
      </c>
      <c r="O62" s="64">
        <f t="shared" si="11"/>
        <v>0</v>
      </c>
    </row>
    <row r="63" spans="1:15">
      <c r="C63" s="54"/>
      <c r="D63" s="54"/>
      <c r="E63" s="54"/>
      <c r="F63" s="54"/>
      <c r="G63" s="54"/>
      <c r="H63" s="54"/>
      <c r="I63" s="54"/>
      <c r="J63" s="54"/>
      <c r="K63" s="54"/>
      <c r="L63" s="54"/>
      <c r="M63" s="54"/>
      <c r="N63" s="54"/>
      <c r="O63" s="54"/>
    </row>
    <row r="64" spans="1:15" s="65" customFormat="1" ht="14.65" thickBot="1">
      <c r="A64" s="65" t="s">
        <v>160</v>
      </c>
      <c r="B64" s="66"/>
      <c r="C64" s="67">
        <f>C62-'Expend - Fabric'!C63</f>
        <v>-8263.73</v>
      </c>
      <c r="D64" s="67">
        <f>D62-'Expend - Fabric'!D63</f>
        <v>-869.89</v>
      </c>
      <c r="E64" s="67">
        <f>E62-'Expend - Fabric'!E63</f>
        <v>-19098.32</v>
      </c>
      <c r="F64" s="67">
        <f>F62-'Expend - Fabric'!F63</f>
        <v>16600.86</v>
      </c>
      <c r="G64" s="67">
        <f>G62-'Expend - Fabric'!G63</f>
        <v>-120.67</v>
      </c>
      <c r="H64" s="67">
        <f>H62-'Expend - Fabric'!H63</f>
        <v>0</v>
      </c>
      <c r="I64" s="67">
        <f>I62-'Expend - Fabric'!I63</f>
        <v>0</v>
      </c>
      <c r="J64" s="67">
        <f>J62-'Expend - Fabric'!J63</f>
        <v>0</v>
      </c>
      <c r="K64" s="67">
        <f>K62-'Expend - Fabric'!K63</f>
        <v>0</v>
      </c>
      <c r="L64" s="67">
        <f>L62-'Expend - Fabric'!L63</f>
        <v>0</v>
      </c>
      <c r="M64" s="67">
        <f>M62-'Expend - Fabric'!M63</f>
        <v>0</v>
      </c>
      <c r="N64" s="67">
        <f>N62-'Expend - Fabric'!N63</f>
        <v>0</v>
      </c>
      <c r="O64" s="101">
        <f>O62-'Expend - Fabric'!O63</f>
        <v>-11751.749999999998</v>
      </c>
    </row>
  </sheetData>
  <pageMargins left="0.70866141732283472" right="0.70866141732283472" top="0.74803149606299213" bottom="0.74803149606299213" header="0.31496062992125984" footer="0.31496062992125984"/>
  <pageSetup paperSize="8" scale="50" orientation="portrait" r:id="rId1"/>
  <headerFooter alignWithMargins="0">
    <oddHeader>&amp;A</oddHead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T69"/>
  <sheetViews>
    <sheetView topLeftCell="A36" zoomScaleNormal="100" workbookViewId="0">
      <selection activeCell="J58" sqref="J58"/>
    </sheetView>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9"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501</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v>0</v>
      </c>
      <c r="D10" s="54">
        <v>0</v>
      </c>
      <c r="E10" s="54">
        <v>0</v>
      </c>
      <c r="F10" s="54">
        <v>0</v>
      </c>
      <c r="G10" s="54">
        <v>0</v>
      </c>
      <c r="H10" s="54">
        <v>0</v>
      </c>
      <c r="I10" s="54">
        <v>0</v>
      </c>
      <c r="J10" s="54">
        <v>0</v>
      </c>
      <c r="K10" s="54">
        <v>0</v>
      </c>
      <c r="L10" s="54">
        <v>0</v>
      </c>
      <c r="M10" s="54">
        <v>0</v>
      </c>
      <c r="N10" s="54">
        <v>0</v>
      </c>
      <c r="O10" s="54">
        <f t="shared" ref="O10:O15" si="0">SUM(C10:N10)</f>
        <v>0</v>
      </c>
    </row>
    <row r="11" spans="1:15">
      <c r="A11" s="53" t="s">
        <v>48</v>
      </c>
      <c r="B11" s="49" t="s">
        <v>136</v>
      </c>
      <c r="C11" s="54">
        <v>0</v>
      </c>
      <c r="D11" s="54">
        <v>0</v>
      </c>
      <c r="E11" s="54">
        <v>0</v>
      </c>
      <c r="F11" s="54">
        <v>0</v>
      </c>
      <c r="G11" s="54">
        <v>0</v>
      </c>
      <c r="H11" s="54">
        <v>0</v>
      </c>
      <c r="I11" s="54">
        <v>0</v>
      </c>
      <c r="J11" s="54">
        <v>0</v>
      </c>
      <c r="K11" s="54">
        <v>0</v>
      </c>
      <c r="L11" s="54">
        <v>0</v>
      </c>
      <c r="M11" s="54">
        <v>0</v>
      </c>
      <c r="N11" s="54">
        <v>0</v>
      </c>
      <c r="O11" s="54">
        <f>SUM(C11:N11)</f>
        <v>0</v>
      </c>
    </row>
    <row r="12" spans="1:15">
      <c r="A12" s="53" t="s">
        <v>49</v>
      </c>
      <c r="B12" s="49" t="s">
        <v>137</v>
      </c>
      <c r="C12" s="54">
        <v>0</v>
      </c>
      <c r="D12" s="54">
        <v>0</v>
      </c>
      <c r="E12" s="54">
        <v>0</v>
      </c>
      <c r="F12" s="54">
        <v>0</v>
      </c>
      <c r="G12" s="54">
        <v>0</v>
      </c>
      <c r="H12" s="54">
        <v>0</v>
      </c>
      <c r="I12" s="54">
        <v>0</v>
      </c>
      <c r="J12" s="54">
        <v>0</v>
      </c>
      <c r="K12" s="54">
        <v>0</v>
      </c>
      <c r="L12" s="54">
        <v>0</v>
      </c>
      <c r="M12" s="54">
        <v>0</v>
      </c>
      <c r="N12" s="54">
        <v>0</v>
      </c>
      <c r="O12" s="54">
        <f>SUM(C12:N12)</f>
        <v>0</v>
      </c>
    </row>
    <row r="13" spans="1:15">
      <c r="A13" s="53" t="s">
        <v>50</v>
      </c>
      <c r="B13" s="49" t="s">
        <v>138</v>
      </c>
      <c r="C13" s="54">
        <v>0</v>
      </c>
      <c r="D13" s="54">
        <v>0</v>
      </c>
      <c r="E13" s="54">
        <v>0</v>
      </c>
      <c r="F13" s="54">
        <v>0</v>
      </c>
      <c r="G13" s="54">
        <v>0</v>
      </c>
      <c r="H13" s="54">
        <v>0</v>
      </c>
      <c r="I13" s="54">
        <v>0</v>
      </c>
      <c r="J13" s="54">
        <v>0</v>
      </c>
      <c r="K13" s="54">
        <v>0</v>
      </c>
      <c r="L13" s="54">
        <v>0</v>
      </c>
      <c r="M13" s="54">
        <v>0</v>
      </c>
      <c r="N13" s="54">
        <v>0</v>
      </c>
      <c r="O13" s="54">
        <f t="shared" si="0"/>
        <v>0</v>
      </c>
    </row>
    <row r="14" spans="1:15">
      <c r="A14" s="53" t="s">
        <v>51</v>
      </c>
      <c r="B14" s="49" t="s">
        <v>139</v>
      </c>
      <c r="C14" s="54">
        <v>0</v>
      </c>
      <c r="D14" s="54">
        <v>0</v>
      </c>
      <c r="E14" s="54">
        <v>0</v>
      </c>
      <c r="F14" s="54">
        <v>0</v>
      </c>
      <c r="G14" s="54">
        <v>0</v>
      </c>
      <c r="H14" s="54">
        <v>0</v>
      </c>
      <c r="I14" s="54">
        <v>0</v>
      </c>
      <c r="J14" s="54">
        <v>0</v>
      </c>
      <c r="K14" s="54">
        <v>0</v>
      </c>
      <c r="L14" s="54">
        <v>0</v>
      </c>
      <c r="M14" s="54">
        <v>0</v>
      </c>
      <c r="N14" s="54">
        <v>0</v>
      </c>
      <c r="O14" s="54">
        <f t="shared" si="0"/>
        <v>0</v>
      </c>
    </row>
    <row r="15" spans="1:15">
      <c r="A15" s="53" t="s">
        <v>52</v>
      </c>
      <c r="B15" s="49" t="s">
        <v>140</v>
      </c>
      <c r="C15" s="54">
        <v>0</v>
      </c>
      <c r="D15" s="54">
        <v>0</v>
      </c>
      <c r="E15" s="54">
        <v>0</v>
      </c>
      <c r="F15" s="54">
        <v>0</v>
      </c>
      <c r="G15" s="54">
        <v>0</v>
      </c>
      <c r="H15" s="54">
        <v>0</v>
      </c>
      <c r="I15" s="54">
        <v>0</v>
      </c>
      <c r="J15" s="54">
        <v>0</v>
      </c>
      <c r="K15" s="54">
        <v>0</v>
      </c>
      <c r="L15" s="54">
        <v>0</v>
      </c>
      <c r="M15" s="54">
        <v>0</v>
      </c>
      <c r="N15" s="54">
        <v>0</v>
      </c>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6"/>
      <c r="E21" s="84"/>
      <c r="F21" s="84"/>
      <c r="G21" s="84"/>
      <c r="H21" s="84"/>
      <c r="I21" s="84"/>
      <c r="J21" s="84"/>
      <c r="K21" s="86"/>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5">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5">
      <c r="C50" s="54"/>
      <c r="D50" s="54"/>
      <c r="E50" s="54"/>
      <c r="F50" s="54"/>
      <c r="G50" s="54"/>
      <c r="H50" s="54"/>
      <c r="I50" s="54"/>
      <c r="J50" s="54"/>
      <c r="K50" s="54"/>
      <c r="L50" s="54"/>
      <c r="M50" s="54"/>
      <c r="N50" s="54"/>
      <c r="O50" s="54"/>
    </row>
    <row r="51" spans="1:15"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5">
      <c r="C52" s="54"/>
      <c r="D52" s="54"/>
      <c r="E52" s="54"/>
      <c r="F52" s="54"/>
      <c r="G52" s="54"/>
      <c r="H52" s="54"/>
      <c r="I52" s="54"/>
      <c r="J52" s="54"/>
      <c r="K52" s="54"/>
      <c r="L52" s="54"/>
      <c r="M52" s="54"/>
      <c r="N52" s="54"/>
      <c r="O52" s="54"/>
    </row>
    <row r="53" spans="1:15">
      <c r="A53" s="44" t="s">
        <v>76</v>
      </c>
      <c r="C53" s="54"/>
      <c r="D53" s="54"/>
      <c r="E53" s="54"/>
      <c r="F53" s="54"/>
      <c r="G53" s="54"/>
      <c r="H53" s="54"/>
      <c r="I53" s="54"/>
      <c r="J53" s="54"/>
      <c r="K53" s="54"/>
      <c r="L53" s="54"/>
      <c r="M53" s="54"/>
      <c r="N53" s="54"/>
      <c r="O53" s="54"/>
    </row>
    <row r="54" spans="1:15">
      <c r="A54" s="53" t="s">
        <v>77</v>
      </c>
      <c r="B54" s="49" t="s">
        <v>154</v>
      </c>
      <c r="C54" s="54"/>
      <c r="D54" s="54"/>
      <c r="E54" s="54"/>
      <c r="F54" s="54"/>
      <c r="G54" s="54"/>
      <c r="H54" s="54"/>
      <c r="I54" s="54"/>
      <c r="J54" s="54"/>
      <c r="K54" s="54"/>
      <c r="L54" s="54"/>
      <c r="M54" s="54"/>
      <c r="N54" s="54"/>
      <c r="O54" s="54">
        <f t="shared" si="8"/>
        <v>0</v>
      </c>
    </row>
    <row r="55" spans="1:15">
      <c r="A55" s="53" t="s">
        <v>378</v>
      </c>
      <c r="B55" s="59" t="s">
        <v>155</v>
      </c>
      <c r="C55" s="54"/>
      <c r="D55" s="54"/>
      <c r="E55" s="54"/>
      <c r="F55" s="54"/>
      <c r="G55" s="54"/>
      <c r="H55" s="54"/>
      <c r="I55" s="54"/>
      <c r="J55" s="54"/>
      <c r="K55" s="54"/>
      <c r="L55" s="54"/>
      <c r="M55" s="54"/>
      <c r="N55" s="54"/>
      <c r="O55" s="54">
        <f t="shared" si="8"/>
        <v>0</v>
      </c>
    </row>
    <row r="56" spans="1:15">
      <c r="A56" s="53" t="s">
        <v>79</v>
      </c>
      <c r="B56" s="59" t="s">
        <v>156</v>
      </c>
      <c r="C56" s="54"/>
      <c r="D56" s="54"/>
      <c r="E56" s="54"/>
      <c r="F56" s="54"/>
      <c r="G56" s="54"/>
      <c r="H56" s="54"/>
      <c r="I56" s="54"/>
      <c r="J56" s="54"/>
      <c r="K56" s="54"/>
      <c r="L56" s="54"/>
      <c r="M56" s="54"/>
      <c r="N56" s="54"/>
      <c r="O56" s="54">
        <f t="shared" si="8"/>
        <v>0</v>
      </c>
    </row>
    <row r="57" spans="1:15">
      <c r="A57" s="53" t="s">
        <v>496</v>
      </c>
      <c r="B57" s="59" t="s">
        <v>157</v>
      </c>
      <c r="C57" s="54"/>
      <c r="D57" s="54"/>
      <c r="E57" s="54"/>
      <c r="F57" s="54"/>
      <c r="G57" s="54"/>
      <c r="H57" s="54"/>
      <c r="I57" s="54"/>
      <c r="J57" s="54"/>
      <c r="K57" s="54"/>
      <c r="L57" s="54"/>
      <c r="M57" s="54"/>
      <c r="N57" s="54"/>
      <c r="O57" s="54">
        <f t="shared" si="8"/>
        <v>0</v>
      </c>
    </row>
    <row r="58" spans="1:15">
      <c r="A58" s="53" t="s">
        <v>158</v>
      </c>
      <c r="B58" s="59"/>
      <c r="C58" s="54"/>
      <c r="D58" s="54"/>
      <c r="E58" s="54"/>
      <c r="F58" s="54"/>
      <c r="G58" s="54"/>
      <c r="H58" s="54"/>
      <c r="I58" s="54"/>
      <c r="J58" s="54"/>
      <c r="K58" s="54"/>
      <c r="L58" s="54"/>
      <c r="M58" s="54"/>
      <c r="N58" s="54"/>
      <c r="O58" s="54"/>
    </row>
    <row r="59" spans="1:15" ht="28.5">
      <c r="A59" s="53" t="s">
        <v>81</v>
      </c>
      <c r="B59" s="63" t="s">
        <v>497</v>
      </c>
      <c r="C59" s="54"/>
      <c r="D59" s="54"/>
      <c r="E59" s="54"/>
      <c r="F59" s="54"/>
      <c r="G59" s="54"/>
      <c r="H59" s="54"/>
      <c r="I59" s="54"/>
      <c r="J59" s="54"/>
      <c r="K59" s="54"/>
      <c r="L59" s="54"/>
      <c r="M59" s="54"/>
      <c r="N59" s="54"/>
      <c r="O59" s="54">
        <f t="shared" si="8"/>
        <v>0</v>
      </c>
    </row>
    <row r="60" spans="1:15"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5">
      <c r="C61" s="54"/>
      <c r="D61" s="54"/>
      <c r="E61" s="54"/>
      <c r="F61" s="54"/>
      <c r="G61" s="54"/>
      <c r="H61" s="54"/>
      <c r="I61" s="54"/>
      <c r="J61" s="54"/>
      <c r="K61" s="54"/>
      <c r="L61" s="54"/>
      <c r="M61" s="54"/>
      <c r="N61" s="54"/>
      <c r="O61" s="54"/>
    </row>
    <row r="62" spans="1:15"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5" s="65" customFormat="1" ht="14.65" thickBot="1">
      <c r="A64" s="65" t="s">
        <v>160</v>
      </c>
      <c r="B64" s="66"/>
      <c r="C64" s="67">
        <f>C62-'Expend - SfSFund'!C64</f>
        <v>0</v>
      </c>
      <c r="D64" s="67">
        <f>D62-'Expend - SfSFund'!D64</f>
        <v>0</v>
      </c>
      <c r="E64" s="67">
        <f>E62-'Expend - SfSFund'!E64</f>
        <v>0</v>
      </c>
      <c r="F64" s="67">
        <f>F62-'Expend - SfSFund'!F64</f>
        <v>0</v>
      </c>
      <c r="G64" s="67">
        <f>G62-'Expend - SfSFund'!G64</f>
        <v>0</v>
      </c>
      <c r="H64" s="67">
        <f>H62-'Expend - SfSFund'!H64</f>
        <v>0</v>
      </c>
      <c r="I64" s="67">
        <f>I62-'Expend - SfSFund'!I64</f>
        <v>0</v>
      </c>
      <c r="J64" s="67">
        <f>J62-'Expend - SfSFund'!J64</f>
        <v>0</v>
      </c>
      <c r="K64" s="67">
        <f>K62-'Expend - SfSFund'!K64</f>
        <v>0</v>
      </c>
      <c r="L64" s="67">
        <f>L62-'Expend - SfSFund'!L64</f>
        <v>0</v>
      </c>
      <c r="M64" s="67">
        <f>M62-'Expend - SfSFund'!M64</f>
        <v>0</v>
      </c>
      <c r="N64" s="67">
        <f>N62-'Expend - SfSFund'!N64</f>
        <v>0</v>
      </c>
      <c r="O64" s="101">
        <f>O62-'Expend - SfSFund'!O64</f>
        <v>0</v>
      </c>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8" scale="54" orientation="portrait" r:id="rId1"/>
  <headerFooter alignWithMargins="0">
    <oddHeader>&amp;A</oddHeader>
  </headerFooter>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S75"/>
  <sheetViews>
    <sheetView topLeftCell="A40" zoomScaleNormal="100" workbookViewId="0">
      <selection activeCell="L58" sqref="L58"/>
    </sheetView>
  </sheetViews>
  <sheetFormatPr defaultRowHeight="14.25"/>
  <cols>
    <col min="1" max="1" width="40.5703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502</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8" scale="57" orientation="portrait" r:id="rId1"/>
  <headerFooter alignWithMargins="0">
    <oddHeader>&amp;A</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69"/>
  <sheetViews>
    <sheetView zoomScaleNormal="100" workbookViewId="0"/>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8.5703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503</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5">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5">
      <c r="C50" s="54"/>
      <c r="D50" s="54"/>
      <c r="E50" s="54"/>
      <c r="F50" s="54"/>
      <c r="G50" s="54"/>
      <c r="H50" s="54"/>
      <c r="I50" s="54"/>
      <c r="J50" s="54"/>
      <c r="K50" s="54"/>
      <c r="L50" s="54"/>
      <c r="M50" s="54"/>
      <c r="N50" s="54"/>
      <c r="O50" s="54"/>
    </row>
    <row r="51" spans="1:15"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5">
      <c r="C52" s="54"/>
      <c r="D52" s="54"/>
      <c r="E52" s="54"/>
      <c r="F52" s="54"/>
      <c r="G52" s="54"/>
      <c r="H52" s="54"/>
      <c r="I52" s="54"/>
      <c r="J52" s="54"/>
      <c r="K52" s="54"/>
      <c r="L52" s="54"/>
      <c r="M52" s="54"/>
      <c r="N52" s="54"/>
      <c r="O52" s="54"/>
    </row>
    <row r="53" spans="1:15">
      <c r="A53" s="44" t="s">
        <v>76</v>
      </c>
      <c r="C53" s="54"/>
      <c r="D53" s="54"/>
      <c r="E53" s="54"/>
      <c r="F53" s="54"/>
      <c r="G53" s="54"/>
      <c r="H53" s="54"/>
      <c r="I53" s="54"/>
      <c r="J53" s="54"/>
      <c r="K53" s="54"/>
      <c r="L53" s="54"/>
      <c r="M53" s="54"/>
      <c r="N53" s="54"/>
      <c r="O53" s="54"/>
    </row>
    <row r="54" spans="1:15">
      <c r="A54" s="53" t="s">
        <v>77</v>
      </c>
      <c r="B54" s="49" t="s">
        <v>154</v>
      </c>
      <c r="C54" s="54"/>
      <c r="D54" s="54"/>
      <c r="E54" s="54"/>
      <c r="F54" s="54"/>
      <c r="G54" s="54"/>
      <c r="H54" s="54"/>
      <c r="I54" s="54"/>
      <c r="J54" s="54"/>
      <c r="K54" s="54"/>
      <c r="L54" s="54"/>
      <c r="M54" s="54"/>
      <c r="N54" s="54"/>
      <c r="O54" s="54">
        <f t="shared" si="8"/>
        <v>0</v>
      </c>
    </row>
    <row r="55" spans="1:15">
      <c r="A55" s="53" t="s">
        <v>378</v>
      </c>
      <c r="B55" s="59" t="s">
        <v>155</v>
      </c>
      <c r="C55" s="54"/>
      <c r="D55" s="54"/>
      <c r="E55" s="54"/>
      <c r="F55" s="54"/>
      <c r="G55" s="54"/>
      <c r="H55" s="54"/>
      <c r="I55" s="54"/>
      <c r="J55" s="54"/>
      <c r="K55" s="54"/>
      <c r="L55" s="54"/>
      <c r="M55" s="54"/>
      <c r="N55" s="54"/>
      <c r="O55" s="54">
        <f t="shared" si="8"/>
        <v>0</v>
      </c>
    </row>
    <row r="56" spans="1:15">
      <c r="A56" s="53" t="s">
        <v>79</v>
      </c>
      <c r="B56" s="59" t="s">
        <v>156</v>
      </c>
      <c r="C56" s="54"/>
      <c r="D56" s="54"/>
      <c r="E56" s="54"/>
      <c r="F56" s="54"/>
      <c r="G56" s="54"/>
      <c r="H56" s="54"/>
      <c r="I56" s="54"/>
      <c r="J56" s="54"/>
      <c r="K56" s="54"/>
      <c r="L56" s="54"/>
      <c r="M56" s="54"/>
      <c r="N56" s="54"/>
      <c r="O56" s="54">
        <f t="shared" si="8"/>
        <v>0</v>
      </c>
    </row>
    <row r="57" spans="1:15">
      <c r="A57" s="53" t="s">
        <v>496</v>
      </c>
      <c r="B57" s="59" t="s">
        <v>157</v>
      </c>
      <c r="C57" s="54"/>
      <c r="D57" s="54"/>
      <c r="E57" s="54"/>
      <c r="F57" s="54"/>
      <c r="G57" s="54"/>
      <c r="H57" s="54"/>
      <c r="I57" s="54"/>
      <c r="J57" s="54"/>
      <c r="K57" s="54"/>
      <c r="L57" s="54"/>
      <c r="M57" s="54"/>
      <c r="N57" s="54"/>
      <c r="O57" s="54">
        <f t="shared" si="8"/>
        <v>0</v>
      </c>
    </row>
    <row r="58" spans="1:15">
      <c r="A58" s="53" t="s">
        <v>158</v>
      </c>
      <c r="B58" s="59"/>
      <c r="C58" s="54"/>
      <c r="D58" s="54"/>
      <c r="E58" s="54"/>
      <c r="F58" s="54"/>
      <c r="G58" s="54"/>
      <c r="H58" s="54"/>
      <c r="I58" s="54"/>
      <c r="J58" s="54"/>
      <c r="K58" s="54"/>
      <c r="L58" s="54"/>
      <c r="M58" s="54"/>
      <c r="N58" s="54"/>
      <c r="O58" s="54"/>
    </row>
    <row r="59" spans="1:15" ht="28.5">
      <c r="A59" s="53" t="s">
        <v>81</v>
      </c>
      <c r="B59" s="63" t="s">
        <v>497</v>
      </c>
      <c r="C59" s="54"/>
      <c r="D59" s="54"/>
      <c r="E59" s="54"/>
      <c r="F59" s="54"/>
      <c r="G59" s="54"/>
      <c r="H59" s="54"/>
      <c r="I59" s="54"/>
      <c r="J59" s="54"/>
      <c r="K59" s="54"/>
      <c r="L59" s="54"/>
      <c r="M59" s="54"/>
      <c r="N59" s="54"/>
      <c r="O59" s="54">
        <f t="shared" si="8"/>
        <v>0</v>
      </c>
    </row>
    <row r="60" spans="1:15"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5">
      <c r="C61" s="54"/>
      <c r="D61" s="54"/>
      <c r="E61" s="54"/>
      <c r="F61" s="54"/>
      <c r="G61" s="54"/>
      <c r="H61" s="54"/>
      <c r="I61" s="54"/>
      <c r="J61" s="54"/>
      <c r="K61" s="54"/>
      <c r="L61" s="54"/>
      <c r="M61" s="54"/>
      <c r="N61" s="54"/>
      <c r="O61" s="54"/>
    </row>
    <row r="62" spans="1:15"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5" s="65" customFormat="1" ht="14.65" thickBot="1">
      <c r="A64" s="65" t="s">
        <v>160</v>
      </c>
      <c r="B64" s="66"/>
      <c r="C64" s="67">
        <f>C62-'Expend - SSchoolFund'!C64</f>
        <v>0</v>
      </c>
      <c r="D64" s="67">
        <f>D62-'Expend - SSchoolFund'!D64</f>
        <v>0</v>
      </c>
      <c r="E64" s="67">
        <f>E62-'Expend - SSchoolFund'!E64</f>
        <v>0</v>
      </c>
      <c r="F64" s="67">
        <f>F62-'Expend - SSchoolFund'!F64</f>
        <v>0</v>
      </c>
      <c r="G64" s="67">
        <f>G62-'Expend - SSchoolFund'!G64</f>
        <v>0</v>
      </c>
      <c r="H64" s="67">
        <f>H62-'Expend - SSchoolFund'!H64</f>
        <v>0</v>
      </c>
      <c r="I64" s="67">
        <f>I62-'Expend - SSchoolFund'!I64</f>
        <v>0</v>
      </c>
      <c r="J64" s="67">
        <f>J62-'Expend - SSchoolFund'!J64</f>
        <v>0</v>
      </c>
      <c r="K64" s="67">
        <f>K62-'Expend - SSchoolFund'!K64</f>
        <v>0</v>
      </c>
      <c r="L64" s="67">
        <f>L62-'Expend - SSchoolFund'!L64</f>
        <v>0</v>
      </c>
      <c r="M64" s="67">
        <f>M62-'Expend - SSchoolFund'!M64</f>
        <v>0</v>
      </c>
      <c r="N64" s="67">
        <f>N62-'Expend - SSchoolFund'!N64</f>
        <v>0</v>
      </c>
      <c r="O64" s="101">
        <f>O62-'Expend - SSchoolFund'!O64</f>
        <v>0</v>
      </c>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9" scale="47"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S75"/>
  <sheetViews>
    <sheetView topLeftCell="A59" zoomScaleNormal="100" workbookViewId="0">
      <selection activeCell="F82" sqref="F82"/>
    </sheetView>
  </sheetViews>
  <sheetFormatPr defaultRowHeight="14.25"/>
  <cols>
    <col min="1" max="1" width="35.5703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504</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3"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S75"/>
  <sheetViews>
    <sheetView zoomScaleNormal="100" workbookViewId="0"/>
  </sheetViews>
  <sheetFormatPr defaultRowHeight="14.25"/>
  <cols>
    <col min="1" max="1" width="36"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505</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3" orientation="landscape" r:id="rId1"/>
  <headerFooter alignWithMargins="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T69"/>
  <sheetViews>
    <sheetView zoomScaleNormal="100" workbookViewId="0">
      <selection activeCell="G27" sqref="G27"/>
    </sheetView>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8.5703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506</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5">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5">
      <c r="C50" s="54"/>
      <c r="D50" s="54"/>
      <c r="E50" s="54"/>
      <c r="F50" s="54"/>
      <c r="G50" s="54"/>
      <c r="H50" s="54"/>
      <c r="I50" s="54"/>
      <c r="J50" s="54"/>
      <c r="K50" s="54"/>
      <c r="L50" s="54"/>
      <c r="M50" s="54"/>
      <c r="N50" s="54"/>
      <c r="O50" s="54"/>
    </row>
    <row r="51" spans="1:15"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5">
      <c r="C52" s="54"/>
      <c r="D52" s="54"/>
      <c r="E52" s="54"/>
      <c r="F52" s="54"/>
      <c r="G52" s="54"/>
      <c r="H52" s="54"/>
      <c r="I52" s="54"/>
      <c r="J52" s="54"/>
      <c r="K52" s="54"/>
      <c r="L52" s="54"/>
      <c r="M52" s="54"/>
      <c r="N52" s="54"/>
      <c r="O52" s="54"/>
    </row>
    <row r="53" spans="1:15">
      <c r="A53" s="44" t="s">
        <v>76</v>
      </c>
      <c r="C53" s="54"/>
      <c r="D53" s="54"/>
      <c r="E53" s="54"/>
      <c r="F53" s="54"/>
      <c r="G53" s="54"/>
      <c r="H53" s="54"/>
      <c r="I53" s="54"/>
      <c r="J53" s="54"/>
      <c r="K53" s="54"/>
      <c r="L53" s="54"/>
      <c r="M53" s="54"/>
      <c r="N53" s="54"/>
      <c r="O53" s="54"/>
    </row>
    <row r="54" spans="1:15">
      <c r="A54" s="53" t="s">
        <v>77</v>
      </c>
      <c r="B54" s="49" t="s">
        <v>154</v>
      </c>
      <c r="C54" s="54"/>
      <c r="D54" s="54"/>
      <c r="E54" s="54"/>
      <c r="F54" s="54"/>
      <c r="G54" s="54"/>
      <c r="H54" s="54"/>
      <c r="I54" s="54"/>
      <c r="J54" s="54"/>
      <c r="K54" s="54"/>
      <c r="L54" s="54"/>
      <c r="M54" s="54"/>
      <c r="N54" s="54"/>
      <c r="O54" s="54">
        <f t="shared" si="8"/>
        <v>0</v>
      </c>
    </row>
    <row r="55" spans="1:15">
      <c r="A55" s="53" t="s">
        <v>378</v>
      </c>
      <c r="B55" s="59" t="s">
        <v>155</v>
      </c>
      <c r="C55" s="54"/>
      <c r="D55" s="54"/>
      <c r="E55" s="54"/>
      <c r="F55" s="54"/>
      <c r="G55" s="54"/>
      <c r="H55" s="54"/>
      <c r="I55" s="54"/>
      <c r="J55" s="54"/>
      <c r="K55" s="54"/>
      <c r="L55" s="54"/>
      <c r="M55" s="54"/>
      <c r="N55" s="54"/>
      <c r="O55" s="54">
        <f t="shared" si="8"/>
        <v>0</v>
      </c>
    </row>
    <row r="56" spans="1:15">
      <c r="A56" s="53" t="s">
        <v>79</v>
      </c>
      <c r="B56" s="59" t="s">
        <v>156</v>
      </c>
      <c r="C56" s="54"/>
      <c r="D56" s="54"/>
      <c r="E56" s="54"/>
      <c r="F56" s="54"/>
      <c r="G56" s="54"/>
      <c r="H56" s="54"/>
      <c r="I56" s="54"/>
      <c r="J56" s="54"/>
      <c r="K56" s="54"/>
      <c r="L56" s="54"/>
      <c r="M56" s="54"/>
      <c r="N56" s="54"/>
      <c r="O56" s="54">
        <f t="shared" si="8"/>
        <v>0</v>
      </c>
    </row>
    <row r="57" spans="1:15">
      <c r="A57" s="53" t="s">
        <v>496</v>
      </c>
      <c r="B57" s="59" t="s">
        <v>157</v>
      </c>
      <c r="C57" s="54"/>
      <c r="D57" s="54"/>
      <c r="E57" s="54"/>
      <c r="F57" s="54"/>
      <c r="G57" s="54"/>
      <c r="H57" s="54"/>
      <c r="I57" s="54"/>
      <c r="J57" s="54"/>
      <c r="K57" s="54"/>
      <c r="L57" s="54"/>
      <c r="M57" s="54"/>
      <c r="N57" s="54"/>
      <c r="O57" s="54">
        <f t="shared" si="8"/>
        <v>0</v>
      </c>
    </row>
    <row r="58" spans="1:15">
      <c r="A58" s="53" t="s">
        <v>158</v>
      </c>
      <c r="B58" s="59"/>
      <c r="C58" s="54"/>
      <c r="D58" s="54"/>
      <c r="E58" s="54"/>
      <c r="F58" s="54"/>
      <c r="G58" s="54"/>
      <c r="H58" s="54"/>
      <c r="I58" s="54"/>
      <c r="J58" s="54"/>
      <c r="K58" s="54"/>
      <c r="L58" s="54"/>
      <c r="M58" s="54"/>
      <c r="N58" s="54"/>
      <c r="O58" s="54">
        <f t="shared" si="8"/>
        <v>0</v>
      </c>
    </row>
    <row r="59" spans="1:15" ht="28.5">
      <c r="A59" s="53" t="s">
        <v>81</v>
      </c>
      <c r="B59" s="63" t="s">
        <v>497</v>
      </c>
      <c r="C59" s="54"/>
      <c r="D59" s="54"/>
      <c r="E59" s="54"/>
      <c r="F59" s="54"/>
      <c r="G59" s="54"/>
      <c r="H59" s="54"/>
      <c r="I59" s="54"/>
      <c r="J59" s="54"/>
      <c r="K59" s="54"/>
      <c r="L59" s="54"/>
      <c r="M59" s="54"/>
      <c r="N59" s="54"/>
      <c r="O59" s="54">
        <f t="shared" si="8"/>
        <v>0</v>
      </c>
    </row>
    <row r="60" spans="1:15"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5">
      <c r="C61" s="54"/>
      <c r="D61" s="54"/>
      <c r="E61" s="54"/>
      <c r="F61" s="54"/>
      <c r="G61" s="54"/>
      <c r="H61" s="54"/>
      <c r="I61" s="54"/>
      <c r="J61" s="54"/>
      <c r="K61" s="54"/>
      <c r="L61" s="54"/>
      <c r="M61" s="54"/>
      <c r="N61" s="54"/>
      <c r="O61" s="54"/>
    </row>
    <row r="62" spans="1:15"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5" s="65" customFormat="1" ht="14.65" thickBot="1">
      <c r="A64" s="65" t="s">
        <v>160</v>
      </c>
      <c r="B64" s="66"/>
      <c r="C64" s="67">
        <f>C62-'Expend - Guild'!C64</f>
        <v>0</v>
      </c>
      <c r="D64" s="67">
        <f>D62-'Expend - Guild'!D64</f>
        <v>0</v>
      </c>
      <c r="E64" s="67">
        <f>E62-'Expend - Guild'!E64</f>
        <v>0</v>
      </c>
      <c r="F64" s="67">
        <f>F62-'Expend - Guild'!F64</f>
        <v>0</v>
      </c>
      <c r="G64" s="67">
        <f>G62-'Expend - Guild'!G64</f>
        <v>0</v>
      </c>
      <c r="H64" s="67">
        <f>H62-'Expend - Guild'!H64</f>
        <v>0</v>
      </c>
      <c r="I64" s="67">
        <f>I62-'Expend - Guild'!I64</f>
        <v>0</v>
      </c>
      <c r="J64" s="67">
        <f>J62-'Expend - Guild'!J64</f>
        <v>0</v>
      </c>
      <c r="K64" s="67">
        <f>K62-'Expend - Guild'!K64</f>
        <v>0</v>
      </c>
      <c r="L64" s="67">
        <f>L62-'Expend - Guild'!L64</f>
        <v>0</v>
      </c>
      <c r="M64" s="67">
        <f>M62-'Expend - Guild'!M64</f>
        <v>0</v>
      </c>
      <c r="N64" s="67">
        <f>N62-'Expend - Guild'!N64</f>
        <v>0</v>
      </c>
      <c r="O64" s="101">
        <f>O62-'Expend - Guild'!O64</f>
        <v>0</v>
      </c>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9" scale="47" orientation="landscape" r:id="rId1"/>
  <headerFooter alignWithMargins="0"/>
  <legacyDrawing r:id="rId2"/>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S75"/>
  <sheetViews>
    <sheetView zoomScaleNormal="100" workbookViewId="0">
      <selection activeCell="H60" sqref="H60"/>
    </sheetView>
  </sheetViews>
  <sheetFormatPr defaultRowHeight="14.25"/>
  <cols>
    <col min="1" max="1" width="34.42578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507</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54"/>
      <c r="I59" s="54"/>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4" orientation="landscape" r:id="rId1"/>
  <headerFooter alignWithMargins="0"/>
  <legacy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T69"/>
  <sheetViews>
    <sheetView zoomScaleNormal="100" workbookViewId="0"/>
  </sheetViews>
  <sheetFormatPr defaultColWidth="9" defaultRowHeight="14.25"/>
  <cols>
    <col min="1" max="1" width="47.5703125" style="48" customWidth="1"/>
    <col min="2" max="2" width="10" style="49" customWidth="1"/>
    <col min="3" max="3" width="7" style="47" customWidth="1"/>
    <col min="4" max="4" width="7.5703125" style="47" customWidth="1"/>
    <col min="5" max="5" width="9" style="47" customWidth="1"/>
    <col min="6" max="9" width="8" style="47" customWidth="1"/>
    <col min="10" max="10" width="7.5703125" style="47" customWidth="1"/>
    <col min="11" max="13" width="8" style="47" customWidth="1"/>
    <col min="14" max="14" width="7.5703125" style="47" customWidth="1"/>
    <col min="15" max="15" width="8.5703125" style="47" customWidth="1"/>
    <col min="16" max="16384" width="9" style="48"/>
  </cols>
  <sheetData>
    <row r="1" spans="1:15">
      <c r="A1" s="44" t="s">
        <v>0</v>
      </c>
      <c r="B1" s="45"/>
      <c r="C1" s="46"/>
    </row>
    <row r="2" spans="1:15">
      <c r="A2" s="44" t="s">
        <v>10</v>
      </c>
      <c r="B2" s="45"/>
    </row>
    <row r="3" spans="1:15">
      <c r="A3" s="1">
        <f>'Income - Overall'!A3</f>
        <v>46173</v>
      </c>
      <c r="B3" s="45"/>
    </row>
    <row r="4" spans="1:15">
      <c r="A4" s="44" t="s">
        <v>508</v>
      </c>
    </row>
    <row r="5" spans="1:15">
      <c r="A5" s="50"/>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5">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5">
      <c r="C50" s="54"/>
      <c r="D50" s="54"/>
      <c r="E50" s="54"/>
      <c r="F50" s="54"/>
      <c r="G50" s="54"/>
      <c r="H50" s="54"/>
      <c r="I50" s="54"/>
      <c r="J50" s="54"/>
      <c r="K50" s="54"/>
      <c r="L50" s="54"/>
      <c r="M50" s="54"/>
      <c r="N50" s="54"/>
      <c r="O50" s="54"/>
    </row>
    <row r="51" spans="1:15"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5">
      <c r="C52" s="54"/>
      <c r="D52" s="54"/>
      <c r="E52" s="54"/>
      <c r="F52" s="54"/>
      <c r="G52" s="54"/>
      <c r="H52" s="54"/>
      <c r="I52" s="54"/>
      <c r="J52" s="54"/>
      <c r="K52" s="54"/>
      <c r="L52" s="54"/>
      <c r="M52" s="54"/>
      <c r="N52" s="54"/>
      <c r="O52" s="54"/>
    </row>
    <row r="53" spans="1:15">
      <c r="A53" s="44" t="s">
        <v>76</v>
      </c>
      <c r="C53" s="54"/>
      <c r="D53" s="54"/>
      <c r="E53" s="54"/>
      <c r="F53" s="54"/>
      <c r="G53" s="54"/>
      <c r="H53" s="54"/>
      <c r="I53" s="54"/>
      <c r="J53" s="54"/>
      <c r="K53" s="54"/>
      <c r="L53" s="54"/>
      <c r="M53" s="54"/>
      <c r="N53" s="54"/>
      <c r="O53" s="54"/>
    </row>
    <row r="54" spans="1:15">
      <c r="A54" s="53" t="s">
        <v>77</v>
      </c>
      <c r="B54" s="49" t="s">
        <v>154</v>
      </c>
      <c r="C54" s="54"/>
      <c r="D54" s="54"/>
      <c r="E54" s="54"/>
      <c r="F54" s="54"/>
      <c r="G54" s="54"/>
      <c r="H54" s="54"/>
      <c r="I54" s="54"/>
      <c r="J54" s="54"/>
      <c r="K54" s="54"/>
      <c r="L54" s="54"/>
      <c r="M54" s="54"/>
      <c r="N54" s="54"/>
      <c r="O54" s="54">
        <f t="shared" si="8"/>
        <v>0</v>
      </c>
    </row>
    <row r="55" spans="1:15">
      <c r="A55" s="53" t="s">
        <v>378</v>
      </c>
      <c r="B55" s="59" t="s">
        <v>155</v>
      </c>
      <c r="C55" s="54"/>
      <c r="D55" s="54"/>
      <c r="E55" s="54"/>
      <c r="F55" s="54"/>
      <c r="G55" s="54"/>
      <c r="H55" s="54"/>
      <c r="I55" s="54"/>
      <c r="J55" s="54"/>
      <c r="K55" s="54"/>
      <c r="L55" s="54"/>
      <c r="M55" s="54"/>
      <c r="N55" s="54"/>
      <c r="O55" s="54">
        <f t="shared" si="8"/>
        <v>0</v>
      </c>
    </row>
    <row r="56" spans="1:15">
      <c r="A56" s="53" t="s">
        <v>79</v>
      </c>
      <c r="B56" s="59" t="s">
        <v>156</v>
      </c>
      <c r="C56" s="54"/>
      <c r="D56" s="54"/>
      <c r="E56" s="54"/>
      <c r="F56" s="54"/>
      <c r="G56" s="54"/>
      <c r="H56" s="54"/>
      <c r="I56" s="54"/>
      <c r="J56" s="54"/>
      <c r="K56" s="54"/>
      <c r="L56" s="54"/>
      <c r="M56" s="54"/>
      <c r="N56" s="54"/>
      <c r="O56" s="54">
        <f t="shared" si="8"/>
        <v>0</v>
      </c>
    </row>
    <row r="57" spans="1:15">
      <c r="A57" s="53" t="s">
        <v>496</v>
      </c>
      <c r="B57" s="59" t="s">
        <v>157</v>
      </c>
      <c r="C57" s="54"/>
      <c r="D57" s="54"/>
      <c r="E57" s="54"/>
      <c r="F57" s="54"/>
      <c r="G57" s="54"/>
      <c r="H57" s="54"/>
      <c r="I57" s="54"/>
      <c r="J57" s="54"/>
      <c r="K57" s="54"/>
      <c r="L57" s="54"/>
      <c r="M57" s="54"/>
      <c r="N57" s="54"/>
      <c r="O57" s="54">
        <f t="shared" si="8"/>
        <v>0</v>
      </c>
    </row>
    <row r="58" spans="1:15">
      <c r="A58" s="53" t="s">
        <v>158</v>
      </c>
      <c r="B58" s="59"/>
      <c r="C58" s="54"/>
      <c r="D58" s="54"/>
      <c r="E58" s="54"/>
      <c r="F58" s="54"/>
      <c r="G58" s="54"/>
      <c r="H58" s="54"/>
      <c r="I58" s="54"/>
      <c r="J58" s="54"/>
      <c r="K58" s="54"/>
      <c r="L58" s="54"/>
      <c r="M58" s="54"/>
      <c r="N58" s="54"/>
      <c r="O58" s="54">
        <f t="shared" si="8"/>
        <v>0</v>
      </c>
    </row>
    <row r="59" spans="1:15" ht="28.5">
      <c r="A59" s="53" t="s">
        <v>81</v>
      </c>
      <c r="B59" s="63" t="s">
        <v>497</v>
      </c>
      <c r="C59" s="54"/>
      <c r="D59" s="54"/>
      <c r="E59" s="54"/>
      <c r="F59" s="54"/>
      <c r="G59" s="54"/>
      <c r="H59" s="54"/>
      <c r="I59" s="54"/>
      <c r="J59" s="54"/>
      <c r="K59" s="54"/>
      <c r="L59" s="54"/>
      <c r="M59" s="54"/>
      <c r="N59" s="54"/>
      <c r="O59" s="54">
        <f t="shared" si="8"/>
        <v>0</v>
      </c>
    </row>
    <row r="60" spans="1:15"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5">
      <c r="C61" s="54"/>
      <c r="D61" s="54"/>
      <c r="E61" s="54"/>
      <c r="F61" s="54"/>
      <c r="G61" s="54"/>
      <c r="H61" s="54"/>
      <c r="I61" s="54"/>
      <c r="J61" s="54"/>
      <c r="K61" s="54"/>
      <c r="L61" s="54"/>
      <c r="M61" s="54"/>
      <c r="N61" s="54"/>
      <c r="O61" s="54"/>
    </row>
    <row r="62" spans="1:15"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5" s="65" customFormat="1" ht="14.65" thickBot="1">
      <c r="A64" s="65" t="s">
        <v>160</v>
      </c>
      <c r="B64" s="66"/>
      <c r="C64" s="67">
        <f>C62-'Expend - Friday'!C64</f>
        <v>0</v>
      </c>
      <c r="D64" s="67">
        <f>D62-'Expend - Friday'!D64</f>
        <v>0</v>
      </c>
      <c r="E64" s="67">
        <f>E62-'Expend - Friday'!E64</f>
        <v>0</v>
      </c>
      <c r="F64" s="67">
        <f>F62-'Expend - Friday'!F64</f>
        <v>0</v>
      </c>
      <c r="G64" s="67">
        <f>G62-'Expend - Friday'!G64</f>
        <v>0</v>
      </c>
      <c r="H64" s="67">
        <f>H62-'Expend - Friday'!H64</f>
        <v>0</v>
      </c>
      <c r="I64" s="67">
        <f>I62-'Expend - Friday'!I64</f>
        <v>0</v>
      </c>
      <c r="J64" s="67">
        <f>J62-'Expend - Friday'!J64</f>
        <v>0</v>
      </c>
      <c r="K64" s="67">
        <f>K62-'Expend - Friday'!K64</f>
        <v>0</v>
      </c>
      <c r="L64" s="67">
        <f>L62-'Expend - Friday'!L64</f>
        <v>0</v>
      </c>
      <c r="M64" s="67">
        <f>M62-'Expend - Friday'!M64</f>
        <v>0</v>
      </c>
      <c r="N64" s="67">
        <f>N62-'Expend - Friday'!N64</f>
        <v>0</v>
      </c>
      <c r="O64" s="101">
        <f>O62-'Expend - Friday'!O64</f>
        <v>0</v>
      </c>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9" scale="47"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S75"/>
  <sheetViews>
    <sheetView zoomScaleNormal="100" workbookViewId="0"/>
  </sheetViews>
  <sheetFormatPr defaultRowHeight="14.25"/>
  <cols>
    <col min="1" max="1" width="34.42578125" customWidth="1"/>
    <col min="2" max="2" width="13" style="5" customWidth="1"/>
    <col min="3" max="3" width="7" style="13" customWidth="1"/>
    <col min="4" max="13" width="7.5703125" style="13" customWidth="1"/>
    <col min="14" max="14" width="7" style="13" customWidth="1"/>
    <col min="15" max="15" width="8.5703125" style="13" customWidth="1"/>
  </cols>
  <sheetData>
    <row r="1" spans="1:15">
      <c r="A1" s="1" t="s">
        <v>0</v>
      </c>
      <c r="B1" s="2"/>
    </row>
    <row r="2" spans="1:15">
      <c r="A2" s="1" t="s">
        <v>10</v>
      </c>
      <c r="B2" s="2"/>
    </row>
    <row r="3" spans="1:15">
      <c r="A3" s="1">
        <f>'Income - Overall'!A3</f>
        <v>46173</v>
      </c>
      <c r="B3" s="2"/>
    </row>
    <row r="4" spans="1:15">
      <c r="A4" s="1" t="s">
        <v>509</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4"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T69"/>
  <sheetViews>
    <sheetView zoomScaleNormal="100" workbookViewId="0"/>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8.5703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510</v>
      </c>
    </row>
    <row r="5" spans="1:15">
      <c r="A5" s="81" t="s">
        <v>511</v>
      </c>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6">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6">
      <c r="C50" s="54"/>
      <c r="D50" s="54"/>
      <c r="E50" s="54"/>
      <c r="F50" s="54"/>
      <c r="G50" s="54"/>
      <c r="H50" s="54"/>
      <c r="I50" s="54"/>
      <c r="J50" s="54"/>
      <c r="K50" s="54"/>
      <c r="L50" s="54"/>
      <c r="M50" s="54"/>
      <c r="N50" s="54"/>
      <c r="O50" s="54"/>
    </row>
    <row r="51" spans="1:16"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6">
      <c r="C52" s="54"/>
      <c r="D52" s="54"/>
      <c r="E52" s="54"/>
      <c r="F52" s="54"/>
      <c r="G52" s="54"/>
      <c r="H52" s="54"/>
      <c r="I52" s="54"/>
      <c r="J52" s="54"/>
      <c r="K52" s="54"/>
      <c r="L52" s="54"/>
      <c r="M52" s="54"/>
      <c r="N52" s="54"/>
      <c r="O52" s="54"/>
    </row>
    <row r="53" spans="1:16">
      <c r="A53" s="44" t="s">
        <v>76</v>
      </c>
      <c r="C53" s="54"/>
      <c r="D53" s="54"/>
      <c r="E53" s="54"/>
      <c r="F53" s="54"/>
      <c r="G53" s="54"/>
      <c r="H53" s="54"/>
      <c r="I53" s="54"/>
      <c r="J53" s="54"/>
      <c r="K53" s="54"/>
      <c r="L53" s="54"/>
      <c r="M53" s="54"/>
      <c r="N53" s="54"/>
      <c r="O53" s="54"/>
    </row>
    <row r="54" spans="1:16">
      <c r="A54" s="53" t="s">
        <v>77</v>
      </c>
      <c r="B54" s="49" t="s">
        <v>154</v>
      </c>
      <c r="C54" s="54"/>
      <c r="D54" s="54"/>
      <c r="E54" s="54"/>
      <c r="F54" s="54"/>
      <c r="G54" s="54"/>
      <c r="H54" s="54"/>
      <c r="I54" s="54"/>
      <c r="J54" s="54"/>
      <c r="K54" s="54"/>
      <c r="L54" s="54"/>
      <c r="M54" s="54"/>
      <c r="N54" s="54"/>
      <c r="O54" s="54">
        <f t="shared" si="8"/>
        <v>0</v>
      </c>
    </row>
    <row r="55" spans="1:16">
      <c r="A55" s="53" t="s">
        <v>378</v>
      </c>
      <c r="B55" s="59" t="s">
        <v>155</v>
      </c>
      <c r="C55" s="54"/>
      <c r="D55" s="54"/>
      <c r="E55" s="54"/>
      <c r="F55" s="54"/>
      <c r="G55" s="54"/>
      <c r="H55" s="54"/>
      <c r="I55" s="54"/>
      <c r="J55" s="54"/>
      <c r="K55" s="54"/>
      <c r="L55" s="54"/>
      <c r="M55" s="54"/>
      <c r="N55" s="54"/>
      <c r="O55" s="54">
        <f t="shared" si="8"/>
        <v>0</v>
      </c>
    </row>
    <row r="56" spans="1:16">
      <c r="A56" s="53" t="s">
        <v>79</v>
      </c>
      <c r="B56" s="59" t="s">
        <v>156</v>
      </c>
      <c r="C56" s="54"/>
      <c r="D56" s="54"/>
      <c r="E56" s="54"/>
      <c r="F56" s="54"/>
      <c r="G56" s="54"/>
      <c r="H56" s="54"/>
      <c r="I56" s="54"/>
      <c r="J56" s="54"/>
      <c r="K56" s="54"/>
      <c r="L56" s="54"/>
      <c r="M56" s="54"/>
      <c r="N56" s="54"/>
      <c r="O56" s="54">
        <f t="shared" si="8"/>
        <v>0</v>
      </c>
    </row>
    <row r="57" spans="1:16">
      <c r="A57" s="53" t="s">
        <v>496</v>
      </c>
      <c r="B57" s="59" t="s">
        <v>157</v>
      </c>
      <c r="C57" s="54"/>
      <c r="D57" s="54"/>
      <c r="E57" s="54"/>
      <c r="F57" s="54"/>
      <c r="G57" s="54"/>
      <c r="H57" s="54"/>
      <c r="I57" s="54"/>
      <c r="J57" s="54"/>
      <c r="K57" s="54"/>
      <c r="L57" s="54"/>
      <c r="M57" s="54"/>
      <c r="N57" s="54"/>
      <c r="O57" s="54">
        <f t="shared" si="8"/>
        <v>0</v>
      </c>
    </row>
    <row r="58" spans="1:16">
      <c r="A58" s="53" t="s">
        <v>158</v>
      </c>
      <c r="B58" s="59"/>
      <c r="C58" s="54"/>
      <c r="D58" s="54"/>
      <c r="E58" s="54"/>
      <c r="F58" s="54"/>
      <c r="G58" s="54"/>
      <c r="H58" s="54"/>
      <c r="I58" s="54"/>
      <c r="J58" s="54"/>
      <c r="K58" s="54"/>
      <c r="L58" s="54"/>
      <c r="M58" s="54"/>
      <c r="N58" s="54"/>
      <c r="O58" s="54">
        <f t="shared" si="8"/>
        <v>0</v>
      </c>
    </row>
    <row r="59" spans="1:16" ht="28.5">
      <c r="A59" s="53" t="s">
        <v>81</v>
      </c>
      <c r="B59" s="63" t="s">
        <v>497</v>
      </c>
      <c r="C59" s="54"/>
      <c r="D59" s="54"/>
      <c r="E59" s="54"/>
      <c r="F59" s="54"/>
      <c r="G59" s="54"/>
      <c r="H59" s="54"/>
      <c r="I59" s="54"/>
      <c r="J59" s="54"/>
      <c r="K59" s="54"/>
      <c r="L59" s="54"/>
      <c r="M59" s="54"/>
      <c r="N59" s="54"/>
      <c r="O59" s="54">
        <f t="shared" si="8"/>
        <v>0</v>
      </c>
    </row>
    <row r="60" spans="1:16"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6">
      <c r="C61" s="54"/>
      <c r="D61" s="54"/>
      <c r="E61" s="54"/>
      <c r="F61" s="54"/>
      <c r="G61" s="54"/>
      <c r="H61" s="54"/>
      <c r="I61" s="54"/>
      <c r="J61" s="54"/>
      <c r="K61" s="54"/>
      <c r="L61" s="54"/>
      <c r="M61" s="54"/>
      <c r="N61" s="54"/>
      <c r="O61" s="54"/>
    </row>
    <row r="62" spans="1:16"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6" s="65" customFormat="1" ht="14.65" thickBot="1">
      <c r="A64" s="65" t="s">
        <v>160</v>
      </c>
      <c r="B64" s="66"/>
      <c r="C64" s="67">
        <f>C62-'Expend - Organ'!C64</f>
        <v>0</v>
      </c>
      <c r="D64" s="67">
        <f>D62-'Expend - Organ'!D64</f>
        <v>0</v>
      </c>
      <c r="E64" s="67">
        <f>E62-'Expend - Organ'!E64</f>
        <v>0</v>
      </c>
      <c r="F64" s="67">
        <f>F62-'Expend - Organ'!F64</f>
        <v>0</v>
      </c>
      <c r="G64" s="67">
        <f>G62-'Expend - Organ'!G64</f>
        <v>0</v>
      </c>
      <c r="H64" s="67">
        <f>H62-'Expend - Organ'!H64</f>
        <v>0</v>
      </c>
      <c r="I64" s="67">
        <f>I62-'Expend - Organ'!I64</f>
        <v>0</v>
      </c>
      <c r="J64" s="67">
        <f>J62-'Expend - Organ'!J64</f>
        <v>0</v>
      </c>
      <c r="K64" s="67">
        <f>K62-'Expend - Organ'!K64</f>
        <v>0</v>
      </c>
      <c r="L64" s="67">
        <f>L62-'Expend - Organ'!L64</f>
        <v>0</v>
      </c>
      <c r="M64" s="67">
        <f>M62-'Expend - Organ'!M64</f>
        <v>0</v>
      </c>
      <c r="N64" s="67">
        <f>N62-'Expend - Organ'!N64</f>
        <v>0</v>
      </c>
      <c r="O64" s="101">
        <f>O62-'Expend - Organ'!O64</f>
        <v>0</v>
      </c>
      <c r="P64" s="48"/>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9" scale="47"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S75"/>
  <sheetViews>
    <sheetView zoomScaleNormal="100" workbookViewId="0"/>
  </sheetViews>
  <sheetFormatPr defaultRowHeight="14.25"/>
  <cols>
    <col min="1" max="1" width="34.42578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512</v>
      </c>
    </row>
    <row r="5" spans="1:15">
      <c r="A5" s="81" t="s">
        <v>511</v>
      </c>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4"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69"/>
  <sheetViews>
    <sheetView topLeftCell="A43" zoomScaleNormal="100" workbookViewId="0">
      <selection activeCell="A43" sqref="A43"/>
    </sheetView>
  </sheetViews>
  <sheetFormatPr defaultColWidth="9" defaultRowHeight="14.25"/>
  <cols>
    <col min="1" max="1" width="47.5703125" style="48" bestFit="1" customWidth="1"/>
    <col min="2" max="2" width="10" style="49" bestFit="1" customWidth="1"/>
    <col min="3" max="3" width="7" style="47" bestFit="1" customWidth="1"/>
    <col min="4" max="4" width="7.5703125" style="47" bestFit="1" customWidth="1"/>
    <col min="5" max="5" width="9" style="47" bestFit="1" customWidth="1"/>
    <col min="6" max="9" width="8" style="47" bestFit="1" customWidth="1"/>
    <col min="10" max="10" width="7.5703125" style="47" bestFit="1" customWidth="1"/>
    <col min="11" max="13" width="8" style="47" bestFit="1" customWidth="1"/>
    <col min="14" max="14" width="7.5703125" style="47" bestFit="1" customWidth="1"/>
    <col min="15" max="15" width="8.5703125" style="47" bestFit="1" customWidth="1"/>
    <col min="16" max="16384" width="9" style="48"/>
  </cols>
  <sheetData>
    <row r="1" spans="1:15">
      <c r="A1" s="44" t="s">
        <v>0</v>
      </c>
      <c r="B1" s="45"/>
      <c r="C1" s="46"/>
    </row>
    <row r="2" spans="1:15">
      <c r="A2" s="44" t="s">
        <v>10</v>
      </c>
      <c r="B2" s="45"/>
    </row>
    <row r="3" spans="1:15">
      <c r="A3" s="1">
        <f>'Income - Overall'!A3</f>
        <v>46173</v>
      </c>
      <c r="B3" s="45"/>
    </row>
    <row r="4" spans="1:15">
      <c r="A4" s="44" t="s">
        <v>513</v>
      </c>
    </row>
    <row r="5" spans="1:15">
      <c r="A5" s="81" t="s">
        <v>511</v>
      </c>
      <c r="B5" s="50"/>
      <c r="C5" s="50"/>
      <c r="D5" s="50"/>
      <c r="E5" s="50"/>
      <c r="F5" s="50"/>
      <c r="G5" s="50"/>
      <c r="H5" s="50"/>
      <c r="I5" s="50"/>
      <c r="J5" s="50"/>
      <c r="K5" s="50"/>
      <c r="L5" s="50"/>
      <c r="M5" s="50"/>
      <c r="N5" s="50"/>
      <c r="O5" s="50"/>
    </row>
    <row r="6" spans="1:15">
      <c r="A6" s="51"/>
      <c r="B6" s="52" t="s">
        <v>134</v>
      </c>
      <c r="C6" s="51" t="s">
        <v>22</v>
      </c>
      <c r="D6" s="51" t="s">
        <v>23</v>
      </c>
      <c r="E6" s="51" t="s">
        <v>24</v>
      </c>
      <c r="F6" s="51" t="s">
        <v>25</v>
      </c>
      <c r="G6" s="51" t="s">
        <v>26</v>
      </c>
      <c r="H6" s="51" t="s">
        <v>27</v>
      </c>
      <c r="I6" s="51" t="s">
        <v>28</v>
      </c>
      <c r="J6" s="51" t="s">
        <v>29</v>
      </c>
      <c r="K6" s="51" t="s">
        <v>30</v>
      </c>
      <c r="L6" s="51" t="s">
        <v>31</v>
      </c>
      <c r="M6" s="51" t="s">
        <v>32</v>
      </c>
      <c r="N6" s="51" t="s">
        <v>33</v>
      </c>
      <c r="O6" s="51" t="s">
        <v>34</v>
      </c>
    </row>
    <row r="7" spans="1:15">
      <c r="A7" s="44" t="s">
        <v>44</v>
      </c>
      <c r="B7" s="52"/>
      <c r="C7" s="51"/>
      <c r="D7" s="51"/>
      <c r="E7" s="51"/>
      <c r="F7" s="51"/>
      <c r="G7" s="51"/>
      <c r="H7" s="51"/>
      <c r="I7" s="51"/>
      <c r="J7" s="51"/>
      <c r="K7" s="51"/>
      <c r="L7" s="51"/>
      <c r="M7" s="51"/>
      <c r="N7" s="51"/>
      <c r="O7" s="51"/>
    </row>
    <row r="8" spans="1:15">
      <c r="A8" s="44" t="s">
        <v>45</v>
      </c>
      <c r="B8" s="52"/>
      <c r="C8" s="51"/>
      <c r="D8" s="51"/>
      <c r="E8" s="51"/>
      <c r="F8" s="51"/>
      <c r="G8" s="51"/>
      <c r="H8" s="51"/>
      <c r="I8" s="51"/>
      <c r="J8" s="51"/>
      <c r="K8" s="51"/>
      <c r="L8" s="51"/>
      <c r="M8" s="51"/>
      <c r="N8" s="51"/>
      <c r="O8" s="51"/>
    </row>
    <row r="9" spans="1:15">
      <c r="A9" s="50" t="s">
        <v>46</v>
      </c>
    </row>
    <row r="10" spans="1:15">
      <c r="A10" s="53" t="s">
        <v>47</v>
      </c>
      <c r="B10" s="49" t="s">
        <v>135</v>
      </c>
      <c r="C10" s="54"/>
      <c r="D10" s="54"/>
      <c r="E10" s="54"/>
      <c r="F10" s="54"/>
      <c r="G10" s="54"/>
      <c r="H10" s="54"/>
      <c r="I10" s="54"/>
      <c r="J10" s="54"/>
      <c r="K10" s="54"/>
      <c r="L10" s="54"/>
      <c r="M10" s="54"/>
      <c r="N10" s="54"/>
      <c r="O10" s="54">
        <f t="shared" ref="O10:O15" si="0">SUM(C10:N10)</f>
        <v>0</v>
      </c>
    </row>
    <row r="11" spans="1:15">
      <c r="A11" s="53" t="s">
        <v>48</v>
      </c>
      <c r="B11" s="49" t="s">
        <v>136</v>
      </c>
      <c r="C11" s="54"/>
      <c r="D11" s="54"/>
      <c r="E11" s="54"/>
      <c r="F11" s="54"/>
      <c r="G11" s="54"/>
      <c r="H11" s="54"/>
      <c r="I11" s="54"/>
      <c r="J11" s="54"/>
      <c r="K11" s="54"/>
      <c r="L11" s="54"/>
      <c r="M11" s="54"/>
      <c r="N11" s="54"/>
      <c r="O11" s="54">
        <f t="shared" si="0"/>
        <v>0</v>
      </c>
    </row>
    <row r="12" spans="1:15">
      <c r="A12" s="53" t="s">
        <v>49</v>
      </c>
      <c r="B12" s="49" t="s">
        <v>137</v>
      </c>
      <c r="C12" s="54"/>
      <c r="D12" s="54"/>
      <c r="E12" s="54"/>
      <c r="F12" s="54"/>
      <c r="G12" s="54"/>
      <c r="H12" s="54"/>
      <c r="I12" s="54"/>
      <c r="J12" s="54"/>
      <c r="K12" s="54"/>
      <c r="L12" s="54"/>
      <c r="M12" s="54"/>
      <c r="N12" s="54"/>
      <c r="O12" s="54">
        <f>SUM(C12:N12)</f>
        <v>0</v>
      </c>
    </row>
    <row r="13" spans="1:15">
      <c r="A13" s="53" t="s">
        <v>50</v>
      </c>
      <c r="B13" s="49" t="s">
        <v>138</v>
      </c>
      <c r="C13" s="54"/>
      <c r="D13" s="54"/>
      <c r="E13" s="54"/>
      <c r="F13" s="54"/>
      <c r="G13" s="54"/>
      <c r="H13" s="54"/>
      <c r="I13" s="54"/>
      <c r="J13" s="54"/>
      <c r="K13" s="54"/>
      <c r="L13" s="54"/>
      <c r="M13" s="54"/>
      <c r="N13" s="54"/>
      <c r="O13" s="54">
        <f t="shared" si="0"/>
        <v>0</v>
      </c>
    </row>
    <row r="14" spans="1:15">
      <c r="A14" s="53" t="s">
        <v>51</v>
      </c>
      <c r="B14" s="49" t="s">
        <v>139</v>
      </c>
      <c r="C14" s="54"/>
      <c r="D14" s="54"/>
      <c r="E14" s="54"/>
      <c r="F14" s="54"/>
      <c r="G14" s="54"/>
      <c r="H14" s="54"/>
      <c r="I14" s="54"/>
      <c r="J14" s="54"/>
      <c r="K14" s="54"/>
      <c r="L14" s="54"/>
      <c r="M14" s="54"/>
      <c r="N14" s="54"/>
      <c r="O14" s="54">
        <f t="shared" si="0"/>
        <v>0</v>
      </c>
    </row>
    <row r="15" spans="1:15">
      <c r="A15" s="53" t="s">
        <v>52</v>
      </c>
      <c r="B15" s="49" t="s">
        <v>140</v>
      </c>
      <c r="C15" s="54"/>
      <c r="D15" s="54"/>
      <c r="E15" s="54"/>
      <c r="F15" s="54"/>
      <c r="G15" s="54"/>
      <c r="H15" s="54"/>
      <c r="I15" s="54"/>
      <c r="J15" s="54"/>
      <c r="K15" s="54"/>
      <c r="L15" s="54"/>
      <c r="M15" s="54"/>
      <c r="N15" s="54"/>
      <c r="O15" s="54">
        <f t="shared" si="0"/>
        <v>0</v>
      </c>
    </row>
    <row r="16" spans="1:15">
      <c r="A16" s="50" t="s">
        <v>53</v>
      </c>
      <c r="B16" s="55"/>
      <c r="C16" s="56">
        <f t="shared" ref="C16:O16" si="1">SUM(C10:C15)</f>
        <v>0</v>
      </c>
      <c r="D16" s="56">
        <f t="shared" si="1"/>
        <v>0</v>
      </c>
      <c r="E16" s="56">
        <f t="shared" si="1"/>
        <v>0</v>
      </c>
      <c r="F16" s="56">
        <f t="shared" si="1"/>
        <v>0</v>
      </c>
      <c r="G16" s="56">
        <f t="shared" si="1"/>
        <v>0</v>
      </c>
      <c r="H16" s="56">
        <f t="shared" si="1"/>
        <v>0</v>
      </c>
      <c r="I16" s="56">
        <f t="shared" si="1"/>
        <v>0</v>
      </c>
      <c r="J16" s="56">
        <f t="shared" si="1"/>
        <v>0</v>
      </c>
      <c r="K16" s="56">
        <f t="shared" si="1"/>
        <v>0</v>
      </c>
      <c r="L16" s="56">
        <f t="shared" si="1"/>
        <v>0</v>
      </c>
      <c r="M16" s="56">
        <f t="shared" si="1"/>
        <v>0</v>
      </c>
      <c r="N16" s="56">
        <f t="shared" si="1"/>
        <v>0</v>
      </c>
      <c r="O16" s="56">
        <f t="shared" si="1"/>
        <v>0</v>
      </c>
    </row>
    <row r="17" spans="1:20">
      <c r="A17" s="50"/>
      <c r="B17" s="55"/>
      <c r="C17" s="84"/>
      <c r="D17" s="84"/>
      <c r="E17" s="84"/>
      <c r="F17" s="84"/>
      <c r="G17" s="84"/>
      <c r="H17" s="84"/>
      <c r="I17" s="84"/>
      <c r="J17" s="84"/>
      <c r="K17" s="84"/>
      <c r="L17" s="84"/>
      <c r="M17" s="84"/>
      <c r="N17" s="84"/>
      <c r="O17" s="84"/>
    </row>
    <row r="18" spans="1:20">
      <c r="A18" s="50" t="s">
        <v>54</v>
      </c>
      <c r="B18" s="55"/>
      <c r="C18" s="84"/>
      <c r="D18" s="84"/>
      <c r="E18" s="84"/>
      <c r="F18" s="84"/>
      <c r="G18" s="84"/>
      <c r="H18" s="84"/>
      <c r="I18" s="84"/>
      <c r="J18" s="84"/>
      <c r="K18" s="84"/>
      <c r="L18" s="84"/>
      <c r="M18" s="84"/>
      <c r="N18" s="84"/>
      <c r="O18" s="84"/>
    </row>
    <row r="19" spans="1:20">
      <c r="A19" s="53" t="s">
        <v>47</v>
      </c>
      <c r="B19" s="85" t="s">
        <v>141</v>
      </c>
      <c r="C19" s="84"/>
      <c r="D19" s="84"/>
      <c r="E19" s="84"/>
      <c r="F19" s="84"/>
      <c r="G19" s="84"/>
      <c r="H19" s="84"/>
      <c r="I19" s="84"/>
      <c r="J19" s="84"/>
      <c r="K19" s="84"/>
      <c r="L19" s="84"/>
      <c r="M19" s="84"/>
      <c r="N19" s="54"/>
      <c r="O19" s="54">
        <f>SUM(C19:N19)</f>
        <v>0</v>
      </c>
    </row>
    <row r="20" spans="1:20">
      <c r="A20" s="53" t="s">
        <v>48</v>
      </c>
      <c r="B20" s="85" t="s">
        <v>142</v>
      </c>
      <c r="C20" s="84"/>
      <c r="D20" s="84"/>
      <c r="E20" s="84"/>
      <c r="F20" s="84"/>
      <c r="G20" s="84"/>
      <c r="H20" s="84"/>
      <c r="I20" s="84"/>
      <c r="J20" s="84"/>
      <c r="K20" s="84"/>
      <c r="L20" s="84"/>
      <c r="M20" s="84"/>
      <c r="N20" s="54"/>
      <c r="O20" s="54">
        <f>SUM(C20:N20)</f>
        <v>0</v>
      </c>
    </row>
    <row r="21" spans="1:20">
      <c r="A21" s="53" t="s">
        <v>49</v>
      </c>
      <c r="B21" s="85" t="s">
        <v>143</v>
      </c>
      <c r="C21" s="84"/>
      <c r="D21" s="84"/>
      <c r="E21" s="84"/>
      <c r="F21" s="84"/>
      <c r="G21" s="84"/>
      <c r="H21" s="84"/>
      <c r="I21" s="84"/>
      <c r="J21" s="84"/>
      <c r="K21" s="84"/>
      <c r="L21" s="84"/>
      <c r="M21" s="84"/>
      <c r="N21" s="54"/>
      <c r="O21" s="54">
        <f>SUM(C21:N21)</f>
        <v>0</v>
      </c>
    </row>
    <row r="22" spans="1:20">
      <c r="A22" s="53" t="s">
        <v>50</v>
      </c>
      <c r="B22" s="85" t="s">
        <v>144</v>
      </c>
      <c r="C22" s="84"/>
      <c r="D22" s="84"/>
      <c r="E22" s="84"/>
      <c r="F22" s="84"/>
      <c r="G22" s="84"/>
      <c r="H22" s="84"/>
      <c r="I22" s="84"/>
      <c r="J22" s="84"/>
      <c r="K22" s="84"/>
      <c r="L22" s="84"/>
      <c r="M22" s="84"/>
      <c r="N22" s="54"/>
      <c r="O22" s="54">
        <f>SUM(C22:N22)</f>
        <v>0</v>
      </c>
    </row>
    <row r="23" spans="1:20">
      <c r="A23" s="50" t="s">
        <v>55</v>
      </c>
      <c r="B23" s="55"/>
      <c r="C23" s="56">
        <f>SUM(C19:C22)</f>
        <v>0</v>
      </c>
      <c r="D23" s="56">
        <f t="shared" ref="D23:O23" si="2">SUM(D19:D22)</f>
        <v>0</v>
      </c>
      <c r="E23" s="56">
        <f t="shared" si="2"/>
        <v>0</v>
      </c>
      <c r="F23" s="56">
        <f t="shared" si="2"/>
        <v>0</v>
      </c>
      <c r="G23" s="56">
        <f t="shared" si="2"/>
        <v>0</v>
      </c>
      <c r="H23" s="56">
        <f t="shared" si="2"/>
        <v>0</v>
      </c>
      <c r="I23" s="56">
        <f t="shared" si="2"/>
        <v>0</v>
      </c>
      <c r="J23" s="56">
        <f t="shared" si="2"/>
        <v>0</v>
      </c>
      <c r="K23" s="56">
        <f t="shared" si="2"/>
        <v>0</v>
      </c>
      <c r="L23" s="56">
        <f t="shared" si="2"/>
        <v>0</v>
      </c>
      <c r="M23" s="56">
        <f t="shared" si="2"/>
        <v>0</v>
      </c>
      <c r="N23" s="56">
        <f t="shared" si="2"/>
        <v>0</v>
      </c>
      <c r="O23" s="56">
        <f t="shared" si="2"/>
        <v>0</v>
      </c>
      <c r="P23" s="55"/>
      <c r="Q23" s="55"/>
      <c r="S23" s="55"/>
      <c r="T23" s="55"/>
    </row>
    <row r="24" spans="1:20">
      <c r="C24" s="54"/>
      <c r="D24" s="54"/>
      <c r="E24" s="54"/>
      <c r="F24" s="54"/>
      <c r="G24" s="54"/>
      <c r="H24" s="54"/>
      <c r="I24" s="54"/>
      <c r="J24" s="54"/>
      <c r="K24" s="54"/>
      <c r="L24" s="54"/>
      <c r="M24" s="54"/>
      <c r="N24" s="54"/>
      <c r="O24" s="54"/>
    </row>
    <row r="25" spans="1:20">
      <c r="A25" s="50" t="s">
        <v>56</v>
      </c>
      <c r="B25" s="55"/>
      <c r="C25" s="54"/>
      <c r="D25" s="54"/>
      <c r="E25" s="54"/>
      <c r="F25" s="54"/>
      <c r="G25" s="54"/>
      <c r="H25" s="54"/>
      <c r="I25" s="54"/>
      <c r="J25" s="54"/>
      <c r="K25" s="54"/>
      <c r="L25" s="54"/>
      <c r="M25" s="54"/>
      <c r="N25" s="54"/>
      <c r="O25" s="54"/>
    </row>
    <row r="26" spans="1:20">
      <c r="A26" s="53" t="s">
        <v>57</v>
      </c>
      <c r="B26" s="49" t="s">
        <v>145</v>
      </c>
      <c r="C26" s="54"/>
      <c r="D26" s="54"/>
      <c r="E26" s="54"/>
      <c r="F26" s="54"/>
      <c r="G26" s="54"/>
      <c r="H26" s="54"/>
      <c r="I26" s="54"/>
      <c r="J26" s="54"/>
      <c r="K26" s="54"/>
      <c r="L26" s="54"/>
      <c r="M26" s="54"/>
      <c r="N26" s="54"/>
      <c r="O26" s="54">
        <f>SUM(C26:N26)</f>
        <v>0</v>
      </c>
    </row>
    <row r="27" spans="1:20">
      <c r="A27" s="53"/>
      <c r="C27" s="54"/>
      <c r="D27" s="54"/>
      <c r="E27" s="54"/>
      <c r="F27" s="54"/>
      <c r="G27" s="54"/>
      <c r="H27" s="54"/>
      <c r="I27" s="54"/>
      <c r="J27" s="54"/>
      <c r="K27" s="54"/>
      <c r="L27" s="54"/>
      <c r="M27" s="54"/>
      <c r="N27" s="54"/>
      <c r="O27" s="54"/>
    </row>
    <row r="28" spans="1:20">
      <c r="A28" s="50" t="s">
        <v>58</v>
      </c>
      <c r="C28" s="57">
        <f>SUM(C26)</f>
        <v>0</v>
      </c>
      <c r="D28" s="57">
        <f t="shared" ref="D28:O28" si="3">SUM(D26)</f>
        <v>0</v>
      </c>
      <c r="E28" s="57">
        <f t="shared" si="3"/>
        <v>0</v>
      </c>
      <c r="F28" s="57">
        <f t="shared" si="3"/>
        <v>0</v>
      </c>
      <c r="G28" s="57">
        <f t="shared" si="3"/>
        <v>0</v>
      </c>
      <c r="H28" s="57">
        <f t="shared" si="3"/>
        <v>0</v>
      </c>
      <c r="I28" s="57">
        <f t="shared" si="3"/>
        <v>0</v>
      </c>
      <c r="J28" s="57">
        <f t="shared" si="3"/>
        <v>0</v>
      </c>
      <c r="K28" s="57">
        <f t="shared" si="3"/>
        <v>0</v>
      </c>
      <c r="L28" s="57">
        <f t="shared" si="3"/>
        <v>0</v>
      </c>
      <c r="M28" s="57">
        <f t="shared" si="3"/>
        <v>0</v>
      </c>
      <c r="N28" s="57">
        <f t="shared" si="3"/>
        <v>0</v>
      </c>
      <c r="O28" s="57">
        <f t="shared" si="3"/>
        <v>0</v>
      </c>
    </row>
    <row r="29" spans="1:20">
      <c r="A29" s="53"/>
      <c r="C29" s="54"/>
      <c r="D29" s="54"/>
      <c r="E29" s="54"/>
      <c r="F29" s="54"/>
      <c r="G29" s="54"/>
      <c r="H29" s="54"/>
      <c r="I29" s="54"/>
      <c r="J29" s="54"/>
      <c r="K29" s="54"/>
      <c r="L29" s="54"/>
      <c r="M29" s="54"/>
      <c r="N29" s="54"/>
      <c r="O29" s="54"/>
    </row>
    <row r="30" spans="1:20">
      <c r="A30" s="50" t="s">
        <v>59</v>
      </c>
      <c r="B30" s="55"/>
      <c r="C30" s="54"/>
      <c r="D30" s="54"/>
      <c r="E30" s="54"/>
      <c r="F30" s="54"/>
      <c r="G30" s="54"/>
      <c r="H30" s="54"/>
      <c r="I30" s="54"/>
      <c r="J30" s="54"/>
      <c r="K30" s="54"/>
      <c r="L30" s="54"/>
      <c r="M30" s="54"/>
      <c r="N30" s="54"/>
      <c r="O30" s="54"/>
    </row>
    <row r="31" spans="1:20">
      <c r="A31" s="53" t="s">
        <v>60</v>
      </c>
      <c r="B31" s="49" t="s">
        <v>146</v>
      </c>
      <c r="C31" s="54"/>
      <c r="D31" s="54"/>
      <c r="E31" s="54"/>
      <c r="F31" s="54"/>
      <c r="G31" s="54"/>
      <c r="H31" s="54"/>
      <c r="I31" s="54"/>
      <c r="J31" s="54"/>
      <c r="K31" s="54"/>
      <c r="L31" s="54"/>
      <c r="M31" s="54"/>
      <c r="N31" s="54"/>
      <c r="O31" s="54">
        <f>SUM(C31:N31)</f>
        <v>0</v>
      </c>
    </row>
    <row r="32" spans="1:20">
      <c r="A32" s="50" t="s">
        <v>61</v>
      </c>
      <c r="C32" s="57">
        <f>SUM(C31)</f>
        <v>0</v>
      </c>
      <c r="D32" s="57">
        <f t="shared" ref="D32:O32" si="4">SUM(D31)</f>
        <v>0</v>
      </c>
      <c r="E32" s="57">
        <f t="shared" si="4"/>
        <v>0</v>
      </c>
      <c r="F32" s="57">
        <f t="shared" si="4"/>
        <v>0</v>
      </c>
      <c r="G32" s="57">
        <f t="shared" si="4"/>
        <v>0</v>
      </c>
      <c r="H32" s="57">
        <f t="shared" si="4"/>
        <v>0</v>
      </c>
      <c r="I32" s="57">
        <f t="shared" si="4"/>
        <v>0</v>
      </c>
      <c r="J32" s="57">
        <f t="shared" si="4"/>
        <v>0</v>
      </c>
      <c r="K32" s="57">
        <f t="shared" si="4"/>
        <v>0</v>
      </c>
      <c r="L32" s="57">
        <f t="shared" si="4"/>
        <v>0</v>
      </c>
      <c r="M32" s="57">
        <f t="shared" si="4"/>
        <v>0</v>
      </c>
      <c r="N32" s="57">
        <f t="shared" si="4"/>
        <v>0</v>
      </c>
      <c r="O32" s="57">
        <f t="shared" si="4"/>
        <v>0</v>
      </c>
    </row>
    <row r="33" spans="1:20">
      <c r="A33" s="53"/>
      <c r="C33" s="54"/>
      <c r="D33" s="54"/>
      <c r="E33" s="54"/>
      <c r="F33" s="54"/>
      <c r="G33" s="54"/>
      <c r="H33" s="54"/>
      <c r="I33" s="54"/>
      <c r="J33" s="54"/>
      <c r="K33" s="54"/>
      <c r="L33" s="54"/>
      <c r="M33" s="54"/>
      <c r="N33" s="54"/>
      <c r="O33" s="54"/>
    </row>
    <row r="34" spans="1:20">
      <c r="A34" s="58" t="s">
        <v>147</v>
      </c>
      <c r="C34" s="54"/>
      <c r="D34" s="54"/>
      <c r="E34" s="54"/>
      <c r="F34" s="54"/>
      <c r="G34" s="54"/>
      <c r="H34" s="54"/>
      <c r="I34" s="54"/>
      <c r="J34" s="54"/>
      <c r="K34" s="54"/>
      <c r="L34" s="54"/>
      <c r="M34" s="54"/>
      <c r="N34" s="54"/>
      <c r="O34" s="54"/>
    </row>
    <row r="35" spans="1:20">
      <c r="A35" s="53" t="s">
        <v>63</v>
      </c>
      <c r="B35" s="59" t="s">
        <v>308</v>
      </c>
      <c r="C35" s="54"/>
      <c r="D35" s="54"/>
      <c r="E35" s="54"/>
      <c r="F35" s="54"/>
      <c r="G35" s="54"/>
      <c r="H35" s="54"/>
      <c r="I35" s="54"/>
      <c r="J35" s="54"/>
      <c r="K35" s="54"/>
      <c r="L35" s="54"/>
      <c r="M35" s="54"/>
      <c r="N35" s="54"/>
      <c r="O35" s="54">
        <f>SUM(C35:N35)</f>
        <v>0</v>
      </c>
    </row>
    <row r="36" spans="1:20">
      <c r="A36" s="53" t="s">
        <v>64</v>
      </c>
      <c r="B36" s="59" t="s">
        <v>149</v>
      </c>
      <c r="C36" s="54"/>
      <c r="D36" s="54"/>
      <c r="E36" s="54"/>
      <c r="F36" s="54"/>
      <c r="G36" s="54"/>
      <c r="H36" s="54"/>
      <c r="I36" s="54"/>
      <c r="J36" s="54"/>
      <c r="K36" s="54"/>
      <c r="L36" s="54"/>
      <c r="M36" s="54"/>
      <c r="N36" s="54"/>
      <c r="O36" s="54">
        <f>SUM(C36:N36)</f>
        <v>0</v>
      </c>
    </row>
    <row r="37" spans="1:20">
      <c r="A37" s="53" t="s">
        <v>65</v>
      </c>
      <c r="B37" s="59" t="s">
        <v>150</v>
      </c>
      <c r="C37" s="54"/>
      <c r="D37" s="54"/>
      <c r="E37" s="54"/>
      <c r="F37" s="54"/>
      <c r="G37" s="54"/>
      <c r="H37" s="54"/>
      <c r="I37" s="54"/>
      <c r="J37" s="54"/>
      <c r="K37" s="54"/>
      <c r="L37" s="54"/>
      <c r="M37" s="54"/>
      <c r="N37" s="54"/>
      <c r="O37" s="54">
        <f>SUM(C37:N37)</f>
        <v>0</v>
      </c>
    </row>
    <row r="38" spans="1:20">
      <c r="A38" s="58" t="s">
        <v>66</v>
      </c>
      <c r="C38" s="57">
        <f>SUM(C35:C37)</f>
        <v>0</v>
      </c>
      <c r="D38" s="57">
        <f t="shared" ref="D38:O38" si="5">SUM(D35:D37)</f>
        <v>0</v>
      </c>
      <c r="E38" s="57">
        <f t="shared" si="5"/>
        <v>0</v>
      </c>
      <c r="F38" s="57">
        <f t="shared" si="5"/>
        <v>0</v>
      </c>
      <c r="G38" s="57">
        <f t="shared" si="5"/>
        <v>0</v>
      </c>
      <c r="H38" s="57">
        <f t="shared" si="5"/>
        <v>0</v>
      </c>
      <c r="I38" s="57">
        <f t="shared" si="5"/>
        <v>0</v>
      </c>
      <c r="J38" s="57">
        <f t="shared" si="5"/>
        <v>0</v>
      </c>
      <c r="K38" s="57">
        <f t="shared" si="5"/>
        <v>0</v>
      </c>
      <c r="L38" s="57">
        <f t="shared" si="5"/>
        <v>0</v>
      </c>
      <c r="M38" s="57">
        <f t="shared" si="5"/>
        <v>0</v>
      </c>
      <c r="N38" s="57">
        <f t="shared" si="5"/>
        <v>0</v>
      </c>
      <c r="O38" s="57">
        <f t="shared" si="5"/>
        <v>0</v>
      </c>
    </row>
    <row r="39" spans="1:20">
      <c r="A39" s="53"/>
      <c r="C39" s="54"/>
      <c r="D39" s="54"/>
      <c r="E39" s="54"/>
      <c r="F39" s="54"/>
      <c r="G39" s="54"/>
      <c r="H39" s="54"/>
      <c r="I39" s="54"/>
      <c r="J39" s="54"/>
      <c r="K39" s="54"/>
      <c r="L39" s="54"/>
      <c r="M39" s="54"/>
      <c r="N39" s="54"/>
      <c r="O39" s="54"/>
    </row>
    <row r="40" spans="1:20">
      <c r="A40" s="60" t="s">
        <v>67</v>
      </c>
      <c r="C40" s="57">
        <f t="shared" ref="C40:N40" si="6">C38+C32+C28+C16+C23</f>
        <v>0</v>
      </c>
      <c r="D40" s="57">
        <f t="shared" si="6"/>
        <v>0</v>
      </c>
      <c r="E40" s="57">
        <f t="shared" si="6"/>
        <v>0</v>
      </c>
      <c r="F40" s="57">
        <f t="shared" si="6"/>
        <v>0</v>
      </c>
      <c r="G40" s="57">
        <f t="shared" si="6"/>
        <v>0</v>
      </c>
      <c r="H40" s="57">
        <f t="shared" si="6"/>
        <v>0</v>
      </c>
      <c r="I40" s="57">
        <f t="shared" si="6"/>
        <v>0</v>
      </c>
      <c r="J40" s="57">
        <f t="shared" si="6"/>
        <v>0</v>
      </c>
      <c r="K40" s="57">
        <f t="shared" si="6"/>
        <v>0</v>
      </c>
      <c r="L40" s="57">
        <f t="shared" si="6"/>
        <v>0</v>
      </c>
      <c r="M40" s="57">
        <f t="shared" si="6"/>
        <v>0</v>
      </c>
      <c r="N40" s="57">
        <f t="shared" si="6"/>
        <v>0</v>
      </c>
      <c r="O40" s="57">
        <f>O38+O32+O28+O16+O23</f>
        <v>0</v>
      </c>
      <c r="P40" s="49"/>
      <c r="Q40" s="49"/>
      <c r="S40" s="49"/>
      <c r="T40" s="49"/>
    </row>
    <row r="41" spans="1:20">
      <c r="A41" s="53"/>
      <c r="C41" s="54"/>
      <c r="D41" s="54"/>
      <c r="E41" s="54"/>
      <c r="F41" s="54"/>
      <c r="G41" s="54"/>
      <c r="H41" s="54"/>
      <c r="I41" s="54"/>
      <c r="J41" s="54"/>
      <c r="K41" s="54"/>
      <c r="L41" s="54"/>
      <c r="M41" s="54"/>
      <c r="N41" s="54"/>
      <c r="O41" s="54"/>
    </row>
    <row r="42" spans="1:20">
      <c r="A42" s="61" t="s">
        <v>68</v>
      </c>
      <c r="C42" s="54"/>
      <c r="D42" s="54"/>
      <c r="E42" s="54"/>
      <c r="F42" s="54"/>
      <c r="G42" s="54"/>
      <c r="H42" s="54"/>
      <c r="I42" s="54"/>
      <c r="J42" s="54"/>
      <c r="K42" s="54"/>
      <c r="L42" s="54"/>
      <c r="M42" s="54"/>
      <c r="N42" s="54"/>
      <c r="O42" s="54"/>
    </row>
    <row r="43" spans="1:20">
      <c r="A43" s="53" t="s">
        <v>69</v>
      </c>
      <c r="B43" s="49" t="s">
        <v>151</v>
      </c>
      <c r="C43" s="54"/>
      <c r="D43" s="54"/>
      <c r="E43" s="54"/>
      <c r="F43" s="54"/>
      <c r="G43" s="54"/>
      <c r="H43" s="54"/>
      <c r="I43" s="54"/>
      <c r="J43" s="54"/>
      <c r="K43" s="54"/>
      <c r="L43" s="54"/>
      <c r="M43" s="54"/>
      <c r="N43" s="54"/>
      <c r="O43" s="54">
        <f>SUM(C43:N43)</f>
        <v>0</v>
      </c>
    </row>
    <row r="44" spans="1:20">
      <c r="A44" s="60" t="s">
        <v>70</v>
      </c>
      <c r="C44" s="57">
        <f>SUM(C43)</f>
        <v>0</v>
      </c>
      <c r="D44" s="57">
        <f t="shared" ref="D44:O44" si="7">SUM(D43)</f>
        <v>0</v>
      </c>
      <c r="E44" s="57">
        <f t="shared" si="7"/>
        <v>0</v>
      </c>
      <c r="F44" s="57">
        <f t="shared" si="7"/>
        <v>0</v>
      </c>
      <c r="G44" s="57">
        <f t="shared" si="7"/>
        <v>0</v>
      </c>
      <c r="H44" s="57">
        <f t="shared" si="7"/>
        <v>0</v>
      </c>
      <c r="I44" s="57">
        <f t="shared" si="7"/>
        <v>0</v>
      </c>
      <c r="J44" s="57">
        <f t="shared" si="7"/>
        <v>0</v>
      </c>
      <c r="K44" s="57">
        <f t="shared" si="7"/>
        <v>0</v>
      </c>
      <c r="L44" s="57">
        <f t="shared" si="7"/>
        <v>0</v>
      </c>
      <c r="M44" s="57">
        <f t="shared" si="7"/>
        <v>0</v>
      </c>
      <c r="N44" s="57">
        <f t="shared" si="7"/>
        <v>0</v>
      </c>
      <c r="O44" s="57">
        <f t="shared" si="7"/>
        <v>0</v>
      </c>
    </row>
    <row r="45" spans="1:20">
      <c r="A45" s="53"/>
      <c r="C45" s="54"/>
      <c r="D45" s="54"/>
      <c r="E45" s="54"/>
      <c r="F45" s="54"/>
      <c r="G45" s="54"/>
      <c r="H45" s="54"/>
      <c r="I45" s="54"/>
      <c r="J45" s="54"/>
      <c r="K45" s="54"/>
      <c r="L45" s="54"/>
      <c r="M45" s="54"/>
      <c r="N45" s="54"/>
      <c r="O45" s="54"/>
    </row>
    <row r="46" spans="1:20">
      <c r="A46" s="61" t="s">
        <v>71</v>
      </c>
      <c r="C46" s="54"/>
      <c r="D46" s="54"/>
      <c r="E46" s="54"/>
      <c r="F46" s="54"/>
      <c r="G46" s="54"/>
      <c r="H46" s="54"/>
      <c r="I46" s="54"/>
      <c r="J46" s="54"/>
      <c r="K46" s="54"/>
      <c r="L46" s="54"/>
      <c r="M46" s="54"/>
      <c r="N46" s="54"/>
      <c r="O46" s="54"/>
    </row>
    <row r="47" spans="1:20">
      <c r="A47" s="53" t="s">
        <v>72</v>
      </c>
      <c r="B47" s="59" t="s">
        <v>152</v>
      </c>
      <c r="C47" s="54"/>
      <c r="D47" s="54"/>
      <c r="E47" s="54"/>
      <c r="F47" s="54"/>
      <c r="G47" s="54"/>
      <c r="H47" s="54"/>
      <c r="I47" s="54"/>
      <c r="J47" s="54"/>
      <c r="K47" s="54"/>
      <c r="L47" s="54"/>
      <c r="M47" s="54"/>
      <c r="N47" s="54"/>
      <c r="O47" s="54">
        <f t="shared" ref="O47:O59" si="8">SUM(C47:N47)</f>
        <v>0</v>
      </c>
    </row>
    <row r="48" spans="1:20">
      <c r="A48" s="53" t="s">
        <v>73</v>
      </c>
      <c r="B48" s="59" t="s">
        <v>153</v>
      </c>
      <c r="C48" s="54"/>
      <c r="D48" s="54"/>
      <c r="E48" s="54"/>
      <c r="F48" s="54"/>
      <c r="G48" s="54"/>
      <c r="H48" s="54"/>
      <c r="I48" s="54"/>
      <c r="J48" s="54"/>
      <c r="K48" s="54"/>
      <c r="L48" s="54"/>
      <c r="M48" s="54"/>
      <c r="N48" s="54"/>
      <c r="O48" s="54">
        <f t="shared" si="8"/>
        <v>0</v>
      </c>
    </row>
    <row r="49" spans="1:16">
      <c r="A49" s="60" t="s">
        <v>74</v>
      </c>
      <c r="C49" s="57">
        <f>SUM(C47:C48)</f>
        <v>0</v>
      </c>
      <c r="D49" s="57">
        <f t="shared" ref="D49:O49" si="9">SUM(D47:D48)</f>
        <v>0</v>
      </c>
      <c r="E49" s="57">
        <f t="shared" si="9"/>
        <v>0</v>
      </c>
      <c r="F49" s="57">
        <f t="shared" si="9"/>
        <v>0</v>
      </c>
      <c r="G49" s="57">
        <f t="shared" si="9"/>
        <v>0</v>
      </c>
      <c r="H49" s="57">
        <f t="shared" si="9"/>
        <v>0</v>
      </c>
      <c r="I49" s="57">
        <f t="shared" si="9"/>
        <v>0</v>
      </c>
      <c r="J49" s="57">
        <f t="shared" si="9"/>
        <v>0</v>
      </c>
      <c r="K49" s="57">
        <f t="shared" si="9"/>
        <v>0</v>
      </c>
      <c r="L49" s="57">
        <f t="shared" si="9"/>
        <v>0</v>
      </c>
      <c r="M49" s="57">
        <f t="shared" si="9"/>
        <v>0</v>
      </c>
      <c r="N49" s="57">
        <f t="shared" si="9"/>
        <v>0</v>
      </c>
      <c r="O49" s="57">
        <f t="shared" si="9"/>
        <v>0</v>
      </c>
    </row>
    <row r="50" spans="1:16">
      <c r="C50" s="54"/>
      <c r="D50" s="54"/>
      <c r="E50" s="54"/>
      <c r="F50" s="54"/>
      <c r="G50" s="54"/>
      <c r="H50" s="54"/>
      <c r="I50" s="54"/>
      <c r="J50" s="54"/>
      <c r="K50" s="54"/>
      <c r="L50" s="54"/>
      <c r="M50" s="54"/>
      <c r="N50" s="54"/>
      <c r="O50" s="54"/>
    </row>
    <row r="51" spans="1:16" ht="14.65" thickBot="1">
      <c r="A51" s="50" t="s">
        <v>75</v>
      </c>
      <c r="C51" s="62">
        <f>C49+C44+C40</f>
        <v>0</v>
      </c>
      <c r="D51" s="62">
        <f t="shared" ref="D51:O51" si="10">D49+D44+D40</f>
        <v>0</v>
      </c>
      <c r="E51" s="62">
        <f t="shared" si="10"/>
        <v>0</v>
      </c>
      <c r="F51" s="62">
        <f t="shared" si="10"/>
        <v>0</v>
      </c>
      <c r="G51" s="62">
        <f t="shared" si="10"/>
        <v>0</v>
      </c>
      <c r="H51" s="62">
        <f t="shared" si="10"/>
        <v>0</v>
      </c>
      <c r="I51" s="62">
        <f t="shared" si="10"/>
        <v>0</v>
      </c>
      <c r="J51" s="62">
        <f t="shared" si="10"/>
        <v>0</v>
      </c>
      <c r="K51" s="62">
        <f t="shared" si="10"/>
        <v>0</v>
      </c>
      <c r="L51" s="62">
        <f t="shared" si="10"/>
        <v>0</v>
      </c>
      <c r="M51" s="62">
        <f t="shared" si="10"/>
        <v>0</v>
      </c>
      <c r="N51" s="62">
        <f t="shared" si="10"/>
        <v>0</v>
      </c>
      <c r="O51" s="62">
        <f t="shared" si="10"/>
        <v>0</v>
      </c>
    </row>
    <row r="52" spans="1:16">
      <c r="C52" s="54"/>
      <c r="D52" s="54"/>
      <c r="E52" s="54"/>
      <c r="F52" s="54"/>
      <c r="G52" s="54"/>
      <c r="H52" s="54"/>
      <c r="I52" s="54"/>
      <c r="J52" s="54"/>
      <c r="K52" s="54"/>
      <c r="L52" s="54"/>
      <c r="M52" s="54"/>
      <c r="N52" s="54"/>
      <c r="O52" s="54"/>
    </row>
    <row r="53" spans="1:16">
      <c r="A53" s="44" t="s">
        <v>76</v>
      </c>
      <c r="C53" s="54"/>
      <c r="D53" s="54"/>
      <c r="E53" s="54"/>
      <c r="F53" s="54"/>
      <c r="G53" s="54"/>
      <c r="H53" s="54"/>
      <c r="I53" s="54"/>
      <c r="J53" s="54"/>
      <c r="K53" s="54"/>
      <c r="L53" s="54"/>
      <c r="M53" s="54"/>
      <c r="N53" s="54"/>
      <c r="O53" s="54"/>
    </row>
    <row r="54" spans="1:16">
      <c r="A54" s="53" t="s">
        <v>77</v>
      </c>
      <c r="B54" s="49" t="s">
        <v>154</v>
      </c>
      <c r="C54" s="54"/>
      <c r="D54" s="54"/>
      <c r="E54" s="54"/>
      <c r="F54" s="54"/>
      <c r="G54" s="54"/>
      <c r="H54" s="54"/>
      <c r="I54" s="54"/>
      <c r="J54" s="54"/>
      <c r="K54" s="54"/>
      <c r="L54" s="54"/>
      <c r="M54" s="54"/>
      <c r="N54" s="54"/>
      <c r="O54" s="54">
        <f t="shared" si="8"/>
        <v>0</v>
      </c>
    </row>
    <row r="55" spans="1:16">
      <c r="A55" s="53" t="s">
        <v>378</v>
      </c>
      <c r="B55" s="59" t="s">
        <v>155</v>
      </c>
      <c r="C55" s="54"/>
      <c r="D55" s="54"/>
      <c r="E55" s="54"/>
      <c r="F55" s="54"/>
      <c r="G55" s="54"/>
      <c r="H55" s="54"/>
      <c r="I55" s="54"/>
      <c r="J55" s="54"/>
      <c r="K55" s="54"/>
      <c r="L55" s="54"/>
      <c r="M55" s="54"/>
      <c r="N55" s="54"/>
      <c r="O55" s="54">
        <f t="shared" si="8"/>
        <v>0</v>
      </c>
    </row>
    <row r="56" spans="1:16">
      <c r="A56" s="53" t="s">
        <v>79</v>
      </c>
      <c r="B56" s="59" t="s">
        <v>156</v>
      </c>
      <c r="C56" s="54"/>
      <c r="D56" s="54"/>
      <c r="E56" s="54"/>
      <c r="F56" s="54"/>
      <c r="G56" s="54"/>
      <c r="H56" s="54"/>
      <c r="I56" s="54"/>
      <c r="J56" s="54"/>
      <c r="K56" s="54"/>
      <c r="L56" s="54"/>
      <c r="M56" s="54"/>
      <c r="N56" s="54"/>
      <c r="O56" s="54">
        <f t="shared" si="8"/>
        <v>0</v>
      </c>
    </row>
    <row r="57" spans="1:16">
      <c r="A57" s="53" t="s">
        <v>496</v>
      </c>
      <c r="B57" s="59" t="s">
        <v>157</v>
      </c>
      <c r="C57" s="54"/>
      <c r="D57" s="54"/>
      <c r="E57" s="54"/>
      <c r="F57" s="54"/>
      <c r="G57" s="54"/>
      <c r="H57" s="54"/>
      <c r="I57" s="54"/>
      <c r="J57" s="54"/>
      <c r="K57" s="54"/>
      <c r="L57" s="54"/>
      <c r="M57" s="54"/>
      <c r="N57" s="54"/>
      <c r="O57" s="54">
        <f t="shared" si="8"/>
        <v>0</v>
      </c>
    </row>
    <row r="58" spans="1:16">
      <c r="A58" s="53" t="s">
        <v>158</v>
      </c>
      <c r="B58" s="59"/>
      <c r="C58" s="54"/>
      <c r="D58" s="54"/>
      <c r="E58" s="54"/>
      <c r="F58" s="54"/>
      <c r="G58" s="54"/>
      <c r="H58" s="54"/>
      <c r="I58" s="54"/>
      <c r="J58" s="54"/>
      <c r="K58" s="54"/>
      <c r="L58" s="54"/>
      <c r="M58" s="54"/>
      <c r="N58" s="54"/>
      <c r="O58" s="54">
        <f t="shared" si="8"/>
        <v>0</v>
      </c>
    </row>
    <row r="59" spans="1:16" ht="42.75">
      <c r="A59" s="53" t="s">
        <v>81</v>
      </c>
      <c r="B59" s="63" t="s">
        <v>159</v>
      </c>
      <c r="C59" s="54"/>
      <c r="D59" s="54"/>
      <c r="E59" s="54"/>
      <c r="F59" s="54"/>
      <c r="G59" s="54"/>
      <c r="H59" s="54"/>
      <c r="I59" s="54"/>
      <c r="J59" s="54"/>
      <c r="K59" s="54"/>
      <c r="L59" s="54"/>
      <c r="M59" s="54"/>
      <c r="N59" s="54"/>
      <c r="O59" s="54">
        <f t="shared" si="8"/>
        <v>0</v>
      </c>
    </row>
    <row r="60" spans="1:16" ht="14.65" thickBot="1">
      <c r="A60" s="50" t="s">
        <v>82</v>
      </c>
      <c r="B60" s="55"/>
      <c r="C60" s="64">
        <f>SUM(C54:C59)</f>
        <v>0</v>
      </c>
      <c r="D60" s="64">
        <f t="shared" ref="D60:O60" si="11">SUM(D54:D59)</f>
        <v>0</v>
      </c>
      <c r="E60" s="64">
        <f t="shared" si="11"/>
        <v>0</v>
      </c>
      <c r="F60" s="64">
        <f t="shared" si="11"/>
        <v>0</v>
      </c>
      <c r="G60" s="64">
        <f t="shared" si="11"/>
        <v>0</v>
      </c>
      <c r="H60" s="64">
        <f t="shared" si="11"/>
        <v>0</v>
      </c>
      <c r="I60" s="64">
        <f t="shared" si="11"/>
        <v>0</v>
      </c>
      <c r="J60" s="64">
        <f t="shared" si="11"/>
        <v>0</v>
      </c>
      <c r="K60" s="64">
        <f t="shared" si="11"/>
        <v>0</v>
      </c>
      <c r="L60" s="64">
        <f t="shared" si="11"/>
        <v>0</v>
      </c>
      <c r="M60" s="64">
        <f t="shared" si="11"/>
        <v>0</v>
      </c>
      <c r="N60" s="64">
        <f t="shared" si="11"/>
        <v>0</v>
      </c>
      <c r="O60" s="64">
        <f t="shared" si="11"/>
        <v>0</v>
      </c>
    </row>
    <row r="61" spans="1:16">
      <c r="C61" s="54"/>
      <c r="D61" s="54"/>
      <c r="E61" s="54"/>
      <c r="F61" s="54"/>
      <c r="G61" s="54"/>
      <c r="H61" s="54"/>
      <c r="I61" s="54"/>
      <c r="J61" s="54"/>
      <c r="K61" s="54"/>
      <c r="L61" s="54"/>
      <c r="M61" s="54"/>
      <c r="N61" s="54"/>
      <c r="O61" s="54"/>
    </row>
    <row r="62" spans="1:16" ht="14.65" thickBot="1">
      <c r="A62" s="50" t="s">
        <v>83</v>
      </c>
      <c r="B62" s="55"/>
      <c r="C62" s="64">
        <f>C51+C60</f>
        <v>0</v>
      </c>
      <c r="D62" s="64">
        <f t="shared" ref="D62:O62" si="12">D51+D60</f>
        <v>0</v>
      </c>
      <c r="E62" s="64">
        <f t="shared" si="12"/>
        <v>0</v>
      </c>
      <c r="F62" s="64">
        <f t="shared" si="12"/>
        <v>0</v>
      </c>
      <c r="G62" s="64">
        <f t="shared" si="12"/>
        <v>0</v>
      </c>
      <c r="H62" s="64">
        <f t="shared" si="12"/>
        <v>0</v>
      </c>
      <c r="I62" s="64">
        <f t="shared" si="12"/>
        <v>0</v>
      </c>
      <c r="J62" s="64">
        <f t="shared" si="12"/>
        <v>0</v>
      </c>
      <c r="K62" s="64">
        <f t="shared" si="12"/>
        <v>0</v>
      </c>
      <c r="L62" s="64">
        <f t="shared" si="12"/>
        <v>0</v>
      </c>
      <c r="M62" s="64">
        <f t="shared" si="12"/>
        <v>0</v>
      </c>
      <c r="N62" s="64">
        <f t="shared" si="12"/>
        <v>0</v>
      </c>
      <c r="O62" s="64">
        <f t="shared" si="12"/>
        <v>0</v>
      </c>
    </row>
    <row r="64" spans="1:16" s="65" customFormat="1" ht="14.65" thickBot="1">
      <c r="A64" s="65" t="s">
        <v>160</v>
      </c>
      <c r="B64" s="66"/>
      <c r="C64" s="67">
        <f>C62-'Expend - Benevolent'!C64</f>
        <v>0</v>
      </c>
      <c r="D64" s="67">
        <f>D62-'Expend - Benevolent'!D64</f>
        <v>0</v>
      </c>
      <c r="E64" s="67">
        <f>E62-'Expend - Benevolent'!E64</f>
        <v>0</v>
      </c>
      <c r="F64" s="67">
        <f>F62-'Expend - Benevolent'!F64</f>
        <v>0</v>
      </c>
      <c r="G64" s="67">
        <f>G62-'Expend - Benevolent'!G64</f>
        <v>0</v>
      </c>
      <c r="H64" s="67">
        <f>H62-'Expend - Benevolent'!H64</f>
        <v>0</v>
      </c>
      <c r="I64" s="67">
        <f>I62-'Expend - Benevolent'!I64</f>
        <v>0</v>
      </c>
      <c r="J64" s="67">
        <f>J62-'Expend - Benevolent'!J64</f>
        <v>0</v>
      </c>
      <c r="K64" s="67">
        <f>K62-'Expend - Benevolent'!K64</f>
        <v>0</v>
      </c>
      <c r="L64" s="67">
        <f>L62-'Expend - Benevolent'!L64</f>
        <v>0</v>
      </c>
      <c r="M64" s="67">
        <f>M62-'Expend - Benevolent'!M64</f>
        <v>0</v>
      </c>
      <c r="N64" s="67">
        <f>N62-'Expend - Benevolent'!N64</f>
        <v>0</v>
      </c>
      <c r="O64" s="101">
        <f>O62-'Expend - Benevolent'!O64</f>
        <v>0</v>
      </c>
      <c r="P64" s="48"/>
    </row>
    <row r="66" spans="1:1">
      <c r="A66" s="48" t="s">
        <v>380</v>
      </c>
    </row>
    <row r="67" spans="1:1">
      <c r="A67" s="48" t="s">
        <v>257</v>
      </c>
    </row>
    <row r="68" spans="1:1">
      <c r="A68" s="48" t="s">
        <v>381</v>
      </c>
    </row>
    <row r="69" spans="1:1">
      <c r="A69" s="48" t="s">
        <v>382</v>
      </c>
    </row>
  </sheetData>
  <pageMargins left="0.70866141732283472" right="0.70866141732283472" top="0.74803149606299213" bottom="0.74803149606299213" header="0.31496062992125984" footer="0.31496062992125984"/>
  <pageSetup paperSize="9" scale="47"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S75"/>
  <sheetViews>
    <sheetView zoomScaleNormal="100" workbookViewId="0">
      <selection activeCell="A43" sqref="A43"/>
    </sheetView>
  </sheetViews>
  <sheetFormatPr defaultRowHeight="14.25"/>
  <cols>
    <col min="1" max="1" width="34.42578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514</v>
      </c>
    </row>
    <row r="5" spans="1:15">
      <c r="A5" s="80" t="s">
        <v>511</v>
      </c>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79"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9" scale="44"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S75"/>
  <sheetViews>
    <sheetView topLeftCell="A59" zoomScaleNormal="100" workbookViewId="0">
      <selection activeCell="E59" sqref="E59"/>
    </sheetView>
  </sheetViews>
  <sheetFormatPr defaultRowHeight="14.25"/>
  <cols>
    <col min="1" max="1" width="34.42578125" bestFit="1" customWidth="1"/>
    <col min="2" max="2" width="13" style="5" bestFit="1" customWidth="1"/>
    <col min="3" max="3" width="7" style="13" bestFit="1" customWidth="1"/>
    <col min="4" max="13" width="7.5703125" style="13" bestFit="1" customWidth="1"/>
    <col min="14" max="14" width="7" style="13" bestFit="1" customWidth="1"/>
    <col min="15" max="15" width="8.5703125" style="13" bestFit="1" customWidth="1"/>
  </cols>
  <sheetData>
    <row r="1" spans="1:15">
      <c r="A1" s="1" t="s">
        <v>0</v>
      </c>
      <c r="B1" s="2"/>
    </row>
    <row r="2" spans="1:15">
      <c r="A2" s="1" t="s">
        <v>10</v>
      </c>
      <c r="B2" s="2"/>
    </row>
    <row r="3" spans="1:15">
      <c r="A3" s="1">
        <f>'Income - Overall'!A3</f>
        <v>46173</v>
      </c>
      <c r="B3" s="2"/>
    </row>
    <row r="4" spans="1:15">
      <c r="A4" s="1" t="s">
        <v>515</v>
      </c>
    </row>
    <row r="5" spans="1:15">
      <c r="A5" s="7"/>
      <c r="B5" s="7"/>
      <c r="C5" s="30"/>
      <c r="D5" s="30"/>
      <c r="E5" s="30"/>
      <c r="F5" s="30"/>
      <c r="G5" s="30"/>
      <c r="H5" s="30"/>
      <c r="I5" s="30"/>
      <c r="J5" s="30"/>
      <c r="K5" s="30"/>
      <c r="L5" s="30"/>
      <c r="M5" s="30"/>
      <c r="N5" s="30"/>
      <c r="O5" s="30"/>
    </row>
    <row r="6" spans="1:15">
      <c r="A6" s="12"/>
      <c r="B6" s="6" t="s">
        <v>134</v>
      </c>
      <c r="C6" s="31" t="s">
        <v>22</v>
      </c>
      <c r="D6" s="31" t="s">
        <v>23</v>
      </c>
      <c r="E6" s="31" t="s">
        <v>24</v>
      </c>
      <c r="F6" s="31" t="s">
        <v>25</v>
      </c>
      <c r="G6" s="31" t="s">
        <v>26</v>
      </c>
      <c r="H6" s="31" t="s">
        <v>27</v>
      </c>
      <c r="I6" s="31" t="s">
        <v>28</v>
      </c>
      <c r="J6" s="31" t="s">
        <v>29</v>
      </c>
      <c r="K6" s="31" t="s">
        <v>30</v>
      </c>
      <c r="L6" s="31" t="s">
        <v>31</v>
      </c>
      <c r="M6" s="31" t="s">
        <v>32</v>
      </c>
      <c r="N6" s="31" t="s">
        <v>33</v>
      </c>
      <c r="O6" s="31" t="s">
        <v>34</v>
      </c>
    </row>
    <row r="7" spans="1:15">
      <c r="A7" s="1" t="s">
        <v>87</v>
      </c>
      <c r="B7" s="8"/>
    </row>
    <row r="8" spans="1:15">
      <c r="A8" s="18" t="s">
        <v>88</v>
      </c>
      <c r="B8" s="9" t="s">
        <v>162</v>
      </c>
      <c r="O8" s="13">
        <f>SUM(C8:N8)</f>
        <v>0</v>
      </c>
    </row>
    <row r="9" spans="1:15">
      <c r="A9" s="18" t="s">
        <v>89</v>
      </c>
      <c r="B9" s="8"/>
      <c r="O9" s="13">
        <f>SUM(C9:N9)</f>
        <v>0</v>
      </c>
    </row>
    <row r="10" spans="1:15" ht="14.65" thickBot="1">
      <c r="A10" s="7" t="s">
        <v>90</v>
      </c>
      <c r="B10" s="8"/>
      <c r="C10" s="28">
        <f>SUM(C8:C9)</f>
        <v>0</v>
      </c>
      <c r="D10" s="28">
        <f t="shared" ref="D10:O10" si="0">SUM(D8:D9)</f>
        <v>0</v>
      </c>
      <c r="E10" s="28">
        <f t="shared" si="0"/>
        <v>0</v>
      </c>
      <c r="F10" s="28">
        <f t="shared" si="0"/>
        <v>0</v>
      </c>
      <c r="G10" s="28">
        <f t="shared" si="0"/>
        <v>0</v>
      </c>
      <c r="H10" s="28">
        <f t="shared" si="0"/>
        <v>0</v>
      </c>
      <c r="I10" s="28">
        <f t="shared" si="0"/>
        <v>0</v>
      </c>
      <c r="J10" s="28">
        <f t="shared" si="0"/>
        <v>0</v>
      </c>
      <c r="K10" s="28">
        <f t="shared" si="0"/>
        <v>0</v>
      </c>
      <c r="L10" s="28">
        <f t="shared" si="0"/>
        <v>0</v>
      </c>
      <c r="M10" s="28">
        <f t="shared" si="0"/>
        <v>0</v>
      </c>
      <c r="N10" s="28">
        <f t="shared" si="0"/>
        <v>0</v>
      </c>
      <c r="O10" s="28">
        <f t="shared" si="0"/>
        <v>0</v>
      </c>
    </row>
    <row r="11" spans="1:15">
      <c r="A11" s="7"/>
      <c r="B11" s="8"/>
    </row>
    <row r="12" spans="1:15">
      <c r="A12" s="1" t="s">
        <v>91</v>
      </c>
      <c r="B12" s="8"/>
    </row>
    <row r="13" spans="1:15">
      <c r="A13" s="15" t="s">
        <v>92</v>
      </c>
      <c r="B13" s="5" t="s">
        <v>163</v>
      </c>
      <c r="O13" s="13">
        <f t="shared" ref="O13:O19" si="1">SUM(C13:N13)</f>
        <v>0</v>
      </c>
    </row>
    <row r="14" spans="1:15">
      <c r="A14" s="15" t="s">
        <v>164</v>
      </c>
      <c r="B14" s="17" t="s">
        <v>165</v>
      </c>
      <c r="O14" s="13">
        <f t="shared" si="1"/>
        <v>0</v>
      </c>
    </row>
    <row r="15" spans="1:15">
      <c r="A15" s="15" t="s">
        <v>94</v>
      </c>
      <c r="B15" s="5" t="s">
        <v>166</v>
      </c>
      <c r="C15" s="13">
        <f>SUM(C16:C17)</f>
        <v>0</v>
      </c>
      <c r="D15" s="13">
        <f t="shared" ref="D15:N15" si="2">SUM(D16:D17)</f>
        <v>0</v>
      </c>
      <c r="E15" s="13">
        <f t="shared" si="2"/>
        <v>0</v>
      </c>
      <c r="F15" s="13">
        <f t="shared" si="2"/>
        <v>0</v>
      </c>
      <c r="G15" s="13">
        <f t="shared" si="2"/>
        <v>0</v>
      </c>
      <c r="H15" s="13">
        <f t="shared" si="2"/>
        <v>0</v>
      </c>
      <c r="I15" s="13">
        <f t="shared" si="2"/>
        <v>0</v>
      </c>
      <c r="J15" s="13">
        <f t="shared" si="2"/>
        <v>0</v>
      </c>
      <c r="K15" s="13">
        <f t="shared" si="2"/>
        <v>0</v>
      </c>
      <c r="L15" s="13">
        <f t="shared" si="2"/>
        <v>0</v>
      </c>
      <c r="M15" s="13">
        <f t="shared" si="2"/>
        <v>0</v>
      </c>
      <c r="N15" s="13">
        <f t="shared" si="2"/>
        <v>0</v>
      </c>
      <c r="O15" s="13">
        <f t="shared" si="1"/>
        <v>0</v>
      </c>
    </row>
    <row r="16" spans="1:15" s="19" customFormat="1">
      <c r="A16" s="20" t="s">
        <v>95</v>
      </c>
      <c r="B16" s="21" t="s">
        <v>167</v>
      </c>
      <c r="C16" s="32"/>
      <c r="D16" s="32"/>
      <c r="E16" s="32"/>
      <c r="F16" s="32"/>
      <c r="G16" s="32"/>
      <c r="H16" s="32"/>
      <c r="I16" s="32"/>
      <c r="J16" s="32"/>
      <c r="K16" s="32"/>
      <c r="L16" s="32"/>
      <c r="M16" s="32"/>
      <c r="N16" s="32"/>
      <c r="O16" s="33">
        <f t="shared" si="1"/>
        <v>0</v>
      </c>
    </row>
    <row r="17" spans="1:19" s="19" customFormat="1">
      <c r="A17" s="22" t="s">
        <v>96</v>
      </c>
      <c r="B17" s="23" t="s">
        <v>168</v>
      </c>
      <c r="C17" s="34"/>
      <c r="D17" s="34"/>
      <c r="E17" s="34"/>
      <c r="F17" s="34"/>
      <c r="G17" s="34"/>
      <c r="H17" s="34"/>
      <c r="I17" s="34"/>
      <c r="J17" s="34"/>
      <c r="K17" s="34"/>
      <c r="L17" s="34"/>
      <c r="M17" s="34"/>
      <c r="N17" s="34"/>
      <c r="O17" s="35">
        <f t="shared" si="1"/>
        <v>0</v>
      </c>
    </row>
    <row r="18" spans="1:19" s="19" customFormat="1" ht="7.5" customHeight="1">
      <c r="A18" s="38"/>
      <c r="B18" s="25"/>
      <c r="C18" s="36"/>
      <c r="D18" s="36"/>
      <c r="E18" s="36"/>
      <c r="F18" s="36"/>
      <c r="G18" s="36"/>
      <c r="H18" s="36"/>
      <c r="I18" s="36"/>
      <c r="J18" s="36"/>
      <c r="K18" s="36"/>
      <c r="L18" s="36"/>
      <c r="M18" s="36"/>
      <c r="N18" s="36"/>
      <c r="O18" s="36"/>
    </row>
    <row r="19" spans="1:19">
      <c r="A19" s="15" t="s">
        <v>97</v>
      </c>
      <c r="B19" s="9" t="s">
        <v>169</v>
      </c>
      <c r="C19" s="13">
        <v>0</v>
      </c>
      <c r="D19" s="13">
        <v>0</v>
      </c>
      <c r="E19" s="13">
        <v>0</v>
      </c>
      <c r="F19" s="13">
        <v>0</v>
      </c>
      <c r="G19" s="13">
        <v>0</v>
      </c>
      <c r="H19" s="13">
        <v>0</v>
      </c>
      <c r="I19" s="13">
        <v>0</v>
      </c>
      <c r="J19" s="13">
        <v>0</v>
      </c>
      <c r="K19" s="13">
        <v>0</v>
      </c>
      <c r="L19" s="13">
        <v>0</v>
      </c>
      <c r="M19" s="13">
        <v>0</v>
      </c>
      <c r="N19" s="13">
        <v>0</v>
      </c>
      <c r="O19" s="13">
        <f t="shared" si="1"/>
        <v>0</v>
      </c>
    </row>
    <row r="20" spans="1:19">
      <c r="A20" s="15" t="s">
        <v>98</v>
      </c>
      <c r="B20" s="9" t="s">
        <v>170</v>
      </c>
    </row>
    <row r="21" spans="1:19">
      <c r="A21" s="15" t="s">
        <v>99</v>
      </c>
      <c r="B21" s="5" t="s">
        <v>166</v>
      </c>
      <c r="C21" s="13">
        <f>SUM(C22:C31)</f>
        <v>0</v>
      </c>
      <c r="D21" s="13">
        <f t="shared" ref="D21:O21" si="3">SUM(D22:D31)</f>
        <v>0</v>
      </c>
      <c r="E21" s="13">
        <f t="shared" si="3"/>
        <v>0</v>
      </c>
      <c r="F21" s="13">
        <f t="shared" si="3"/>
        <v>0</v>
      </c>
      <c r="G21" s="13">
        <f t="shared" si="3"/>
        <v>0</v>
      </c>
      <c r="H21" s="13">
        <f t="shared" si="3"/>
        <v>0</v>
      </c>
      <c r="I21" s="13">
        <f t="shared" si="3"/>
        <v>0</v>
      </c>
      <c r="J21" s="13">
        <f t="shared" si="3"/>
        <v>0</v>
      </c>
      <c r="K21" s="13">
        <f t="shared" si="3"/>
        <v>0</v>
      </c>
      <c r="L21" s="13">
        <f t="shared" si="3"/>
        <v>0</v>
      </c>
      <c r="M21" s="13">
        <f t="shared" si="3"/>
        <v>0</v>
      </c>
      <c r="N21" s="13">
        <f t="shared" si="3"/>
        <v>0</v>
      </c>
      <c r="O21" s="13">
        <f t="shared" si="3"/>
        <v>0</v>
      </c>
    </row>
    <row r="22" spans="1:19" s="19" customFormat="1">
      <c r="A22" s="20" t="s">
        <v>100</v>
      </c>
      <c r="B22" s="21" t="s">
        <v>171</v>
      </c>
      <c r="C22" s="32"/>
      <c r="D22" s="32"/>
      <c r="E22" s="32"/>
      <c r="F22" s="32"/>
      <c r="G22" s="32"/>
      <c r="H22" s="32"/>
      <c r="I22" s="32"/>
      <c r="J22" s="32"/>
      <c r="K22" s="32"/>
      <c r="L22" s="32"/>
      <c r="M22" s="32"/>
      <c r="N22" s="32"/>
      <c r="O22" s="33">
        <f>SUM(C22:N22)</f>
        <v>0</v>
      </c>
      <c r="P22"/>
      <c r="Q22"/>
      <c r="R22"/>
      <c r="S22"/>
    </row>
    <row r="23" spans="1:19" s="19" customFormat="1">
      <c r="A23" s="24" t="s">
        <v>101</v>
      </c>
      <c r="B23" s="25" t="s">
        <v>172</v>
      </c>
      <c r="C23" s="36"/>
      <c r="D23" s="36"/>
      <c r="E23" s="36"/>
      <c r="F23" s="36"/>
      <c r="G23" s="36"/>
      <c r="H23" s="36"/>
      <c r="I23" s="36"/>
      <c r="J23" s="36"/>
      <c r="K23" s="36"/>
      <c r="L23" s="36"/>
      <c r="M23" s="36"/>
      <c r="N23" s="36"/>
      <c r="O23" s="37">
        <f t="shared" ref="O23:O31" si="4">SUM(C23:N23)</f>
        <v>0</v>
      </c>
      <c r="P23"/>
      <c r="Q23"/>
      <c r="R23"/>
      <c r="S23"/>
    </row>
    <row r="24" spans="1:19" s="19" customFormat="1">
      <c r="A24" s="24" t="s">
        <v>102</v>
      </c>
      <c r="B24" s="25" t="s">
        <v>173</v>
      </c>
      <c r="C24" s="36"/>
      <c r="D24" s="36"/>
      <c r="E24" s="36"/>
      <c r="F24" s="36"/>
      <c r="G24" s="36"/>
      <c r="H24" s="36"/>
      <c r="I24" s="36"/>
      <c r="J24" s="36"/>
      <c r="K24" s="36"/>
      <c r="L24" s="36"/>
      <c r="M24" s="36"/>
      <c r="N24" s="36"/>
      <c r="O24" s="37">
        <f t="shared" si="4"/>
        <v>0</v>
      </c>
      <c r="P24"/>
      <c r="Q24"/>
      <c r="R24"/>
      <c r="S24"/>
    </row>
    <row r="25" spans="1:19" s="19" customFormat="1">
      <c r="A25" s="24" t="s">
        <v>103</v>
      </c>
      <c r="B25" s="25" t="s">
        <v>174</v>
      </c>
      <c r="C25" s="36"/>
      <c r="D25" s="36"/>
      <c r="E25" s="36"/>
      <c r="F25" s="36"/>
      <c r="G25" s="36"/>
      <c r="H25" s="36"/>
      <c r="I25" s="36"/>
      <c r="J25" s="36"/>
      <c r="K25" s="36"/>
      <c r="L25" s="36"/>
      <c r="M25" s="36"/>
      <c r="N25" s="36"/>
      <c r="O25" s="37">
        <f t="shared" si="4"/>
        <v>0</v>
      </c>
      <c r="P25"/>
      <c r="Q25"/>
      <c r="R25"/>
      <c r="S25"/>
    </row>
    <row r="26" spans="1:19" s="19" customFormat="1">
      <c r="A26" s="24" t="s">
        <v>104</v>
      </c>
      <c r="B26" s="25" t="s">
        <v>175</v>
      </c>
      <c r="C26" s="36"/>
      <c r="D26" s="36"/>
      <c r="E26" s="36"/>
      <c r="F26" s="36"/>
      <c r="G26" s="36"/>
      <c r="H26" s="36"/>
      <c r="I26" s="36"/>
      <c r="J26" s="36"/>
      <c r="K26" s="36"/>
      <c r="L26" s="36"/>
      <c r="M26" s="36"/>
      <c r="N26" s="36"/>
      <c r="O26" s="37">
        <f t="shared" si="4"/>
        <v>0</v>
      </c>
      <c r="P26"/>
      <c r="Q26"/>
      <c r="R26"/>
      <c r="S26"/>
    </row>
    <row r="27" spans="1:19" s="19" customFormat="1">
      <c r="A27" s="24" t="s">
        <v>105</v>
      </c>
      <c r="B27" s="25" t="s">
        <v>337</v>
      </c>
      <c r="C27" s="36"/>
      <c r="D27" s="36"/>
      <c r="E27" s="36"/>
      <c r="F27" s="36"/>
      <c r="G27" s="36"/>
      <c r="H27" s="36"/>
      <c r="I27" s="36"/>
      <c r="J27" s="36"/>
      <c r="K27" s="36"/>
      <c r="L27" s="36"/>
      <c r="M27" s="36"/>
      <c r="N27" s="36"/>
      <c r="O27" s="37">
        <f t="shared" si="4"/>
        <v>0</v>
      </c>
      <c r="P27"/>
      <c r="Q27"/>
      <c r="R27"/>
      <c r="S27"/>
    </row>
    <row r="28" spans="1:19" s="19" customFormat="1">
      <c r="A28" s="24" t="s">
        <v>106</v>
      </c>
      <c r="B28" s="25" t="s">
        <v>177</v>
      </c>
      <c r="C28" s="36"/>
      <c r="D28" s="36"/>
      <c r="E28" s="36"/>
      <c r="F28" s="36"/>
      <c r="G28" s="36"/>
      <c r="H28" s="36"/>
      <c r="I28" s="36"/>
      <c r="J28" s="36"/>
      <c r="K28" s="36"/>
      <c r="L28" s="36"/>
      <c r="M28" s="36"/>
      <c r="N28" s="36"/>
      <c r="O28" s="37">
        <f t="shared" si="4"/>
        <v>0</v>
      </c>
      <c r="P28"/>
      <c r="Q28"/>
      <c r="R28"/>
      <c r="S28"/>
    </row>
    <row r="29" spans="1:19" s="19" customFormat="1">
      <c r="A29" s="24" t="s">
        <v>107</v>
      </c>
      <c r="B29" s="25"/>
      <c r="C29" s="36"/>
      <c r="D29" s="36"/>
      <c r="E29" s="36"/>
      <c r="F29" s="36"/>
      <c r="G29" s="36"/>
      <c r="H29" s="36"/>
      <c r="I29" s="36"/>
      <c r="J29" s="36"/>
      <c r="K29" s="36"/>
      <c r="L29" s="36"/>
      <c r="M29" s="36"/>
      <c r="N29" s="36"/>
      <c r="O29" s="37">
        <f t="shared" si="4"/>
        <v>0</v>
      </c>
      <c r="P29"/>
      <c r="Q29"/>
      <c r="R29"/>
      <c r="S29"/>
    </row>
    <row r="30" spans="1:19" s="19" customFormat="1">
      <c r="A30" s="24" t="s">
        <v>108</v>
      </c>
      <c r="B30" s="25"/>
      <c r="C30" s="36"/>
      <c r="D30" s="36"/>
      <c r="E30" s="36"/>
      <c r="F30" s="36"/>
      <c r="G30" s="36"/>
      <c r="H30" s="36"/>
      <c r="I30" s="36"/>
      <c r="J30" s="36"/>
      <c r="K30" s="36"/>
      <c r="L30" s="36"/>
      <c r="M30" s="36"/>
      <c r="N30" s="36"/>
      <c r="O30" s="37">
        <f t="shared" si="4"/>
        <v>0</v>
      </c>
      <c r="P30"/>
      <c r="Q30"/>
      <c r="R30"/>
      <c r="S30"/>
    </row>
    <row r="31" spans="1:19" s="19" customFormat="1">
      <c r="A31" s="22" t="s">
        <v>383</v>
      </c>
      <c r="B31" s="23" t="s">
        <v>180</v>
      </c>
      <c r="C31" s="34"/>
      <c r="D31" s="34"/>
      <c r="E31" s="34"/>
      <c r="F31" s="34"/>
      <c r="G31" s="34"/>
      <c r="H31" s="34"/>
      <c r="I31" s="34"/>
      <c r="J31" s="34"/>
      <c r="K31" s="34"/>
      <c r="L31" s="34"/>
      <c r="M31" s="34"/>
      <c r="N31" s="34"/>
      <c r="O31" s="35">
        <f t="shared" si="4"/>
        <v>0</v>
      </c>
      <c r="P31"/>
      <c r="Q31"/>
      <c r="R31"/>
      <c r="S31"/>
    </row>
    <row r="32" spans="1:19" s="19" customFormat="1" ht="7.5" customHeight="1">
      <c r="A32" s="38"/>
      <c r="B32" s="25"/>
      <c r="C32" s="36"/>
      <c r="D32" s="36"/>
      <c r="E32" s="36"/>
      <c r="F32" s="36"/>
      <c r="G32" s="36"/>
      <c r="H32" s="36"/>
      <c r="I32" s="36"/>
      <c r="J32" s="36"/>
      <c r="K32" s="36"/>
      <c r="L32" s="36"/>
      <c r="M32" s="36"/>
      <c r="N32" s="36"/>
      <c r="O32" s="36"/>
      <c r="P32"/>
      <c r="Q32"/>
      <c r="R32"/>
      <c r="S32"/>
    </row>
    <row r="33" spans="1:15">
      <c r="A33" s="15" t="s">
        <v>110</v>
      </c>
      <c r="B33" s="5" t="s">
        <v>166</v>
      </c>
      <c r="C33" s="13">
        <f>SUM(C34:C35)</f>
        <v>0</v>
      </c>
      <c r="D33" s="13">
        <f t="shared" ref="D33:N33" si="5">SUM(D34:D35)</f>
        <v>0</v>
      </c>
      <c r="E33" s="13">
        <f t="shared" si="5"/>
        <v>0</v>
      </c>
      <c r="F33" s="13">
        <f t="shared" si="5"/>
        <v>0</v>
      </c>
      <c r="G33" s="13">
        <f t="shared" si="5"/>
        <v>0</v>
      </c>
      <c r="H33" s="13">
        <f t="shared" si="5"/>
        <v>0</v>
      </c>
      <c r="I33" s="13">
        <f t="shared" si="5"/>
        <v>0</v>
      </c>
      <c r="J33" s="13">
        <f t="shared" si="5"/>
        <v>0</v>
      </c>
      <c r="K33" s="13">
        <f t="shared" si="5"/>
        <v>0</v>
      </c>
      <c r="L33" s="13">
        <f t="shared" si="5"/>
        <v>0</v>
      </c>
      <c r="M33" s="13">
        <f t="shared" si="5"/>
        <v>0</v>
      </c>
      <c r="N33" s="13">
        <f t="shared" si="5"/>
        <v>0</v>
      </c>
      <c r="O33" s="13">
        <f t="shared" ref="O33:O60" si="6">SUM(C33:N33)</f>
        <v>0</v>
      </c>
    </row>
    <row r="34" spans="1:15" s="19" customFormat="1">
      <c r="A34" s="20" t="s">
        <v>111</v>
      </c>
      <c r="B34" s="21" t="s">
        <v>182</v>
      </c>
      <c r="C34" s="32"/>
      <c r="D34" s="32"/>
      <c r="E34" s="32"/>
      <c r="F34" s="32"/>
      <c r="G34" s="32"/>
      <c r="H34" s="32"/>
      <c r="I34" s="32"/>
      <c r="J34" s="32"/>
      <c r="K34" s="32"/>
      <c r="L34" s="32"/>
      <c r="M34" s="32"/>
      <c r="N34" s="32"/>
      <c r="O34" s="33">
        <f t="shared" si="6"/>
        <v>0</v>
      </c>
    </row>
    <row r="35" spans="1:15" s="19" customFormat="1">
      <c r="A35" s="22" t="s">
        <v>112</v>
      </c>
      <c r="B35" s="23" t="s">
        <v>183</v>
      </c>
      <c r="C35" s="34"/>
      <c r="D35" s="34"/>
      <c r="E35" s="34"/>
      <c r="F35" s="34"/>
      <c r="G35" s="34"/>
      <c r="H35" s="34"/>
      <c r="I35" s="34"/>
      <c r="J35" s="34"/>
      <c r="K35" s="34"/>
      <c r="L35" s="34"/>
      <c r="M35" s="34"/>
      <c r="N35" s="34"/>
      <c r="O35" s="35">
        <f t="shared" si="6"/>
        <v>0</v>
      </c>
    </row>
    <row r="36" spans="1:15" s="19" customFormat="1" ht="7.5" customHeight="1">
      <c r="A36" s="38"/>
      <c r="B36" s="25"/>
      <c r="C36" s="36"/>
      <c r="D36" s="36"/>
      <c r="E36" s="36"/>
      <c r="F36" s="36"/>
      <c r="G36" s="36"/>
      <c r="H36" s="36"/>
      <c r="I36" s="36"/>
      <c r="J36" s="36"/>
      <c r="K36" s="36"/>
      <c r="L36" s="36"/>
      <c r="M36" s="36"/>
      <c r="N36" s="36"/>
      <c r="O36" s="36"/>
    </row>
    <row r="37" spans="1:15">
      <c r="A37" s="15" t="s">
        <v>113</v>
      </c>
      <c r="B37" s="5" t="s">
        <v>184</v>
      </c>
      <c r="O37" s="13">
        <f t="shared" si="6"/>
        <v>0</v>
      </c>
    </row>
    <row r="38" spans="1:15">
      <c r="A38" s="15" t="s">
        <v>114</v>
      </c>
      <c r="B38" s="5" t="s">
        <v>166</v>
      </c>
      <c r="C38" s="13">
        <f>SUM(C39:C41)</f>
        <v>0</v>
      </c>
      <c r="D38" s="13">
        <f t="shared" ref="D38:N38" si="7">SUM(D39:D41)</f>
        <v>0</v>
      </c>
      <c r="E38" s="13">
        <f t="shared" si="7"/>
        <v>0</v>
      </c>
      <c r="F38" s="13">
        <f t="shared" si="7"/>
        <v>0</v>
      </c>
      <c r="G38" s="13">
        <f t="shared" si="7"/>
        <v>0</v>
      </c>
      <c r="H38" s="13">
        <f t="shared" si="7"/>
        <v>0</v>
      </c>
      <c r="I38" s="13">
        <f t="shared" si="7"/>
        <v>0</v>
      </c>
      <c r="J38" s="13">
        <f t="shared" si="7"/>
        <v>0</v>
      </c>
      <c r="K38" s="13">
        <f t="shared" si="7"/>
        <v>0</v>
      </c>
      <c r="L38" s="13">
        <f t="shared" si="7"/>
        <v>0</v>
      </c>
      <c r="M38" s="13">
        <f t="shared" si="7"/>
        <v>0</v>
      </c>
      <c r="N38" s="13">
        <f t="shared" si="7"/>
        <v>0</v>
      </c>
      <c r="O38" s="13">
        <f t="shared" si="6"/>
        <v>0</v>
      </c>
    </row>
    <row r="39" spans="1:15" s="19" customFormat="1">
      <c r="A39" s="20" t="s">
        <v>115</v>
      </c>
      <c r="B39" s="21" t="s">
        <v>185</v>
      </c>
      <c r="C39" s="32"/>
      <c r="D39" s="32"/>
      <c r="E39" s="32"/>
      <c r="F39" s="32"/>
      <c r="G39" s="32"/>
      <c r="H39" s="32"/>
      <c r="I39" s="32"/>
      <c r="J39" s="32"/>
      <c r="K39" s="32"/>
      <c r="L39" s="32"/>
      <c r="M39" s="32"/>
      <c r="N39" s="32"/>
      <c r="O39" s="33">
        <f t="shared" si="6"/>
        <v>0</v>
      </c>
    </row>
    <row r="40" spans="1:15" s="19" customFormat="1">
      <c r="A40" s="24" t="s">
        <v>116</v>
      </c>
      <c r="B40" s="25" t="s">
        <v>186</v>
      </c>
      <c r="C40" s="36"/>
      <c r="D40" s="36"/>
      <c r="E40" s="36"/>
      <c r="F40" s="36"/>
      <c r="G40" s="36"/>
      <c r="H40" s="36"/>
      <c r="I40" s="36"/>
      <c r="J40" s="36"/>
      <c r="K40" s="36"/>
      <c r="L40" s="36"/>
      <c r="M40" s="36"/>
      <c r="N40" s="36"/>
      <c r="O40" s="37">
        <f>SUM(C40:N40)</f>
        <v>0</v>
      </c>
    </row>
    <row r="41" spans="1:15" s="19" customFormat="1">
      <c r="A41" s="22" t="s">
        <v>117</v>
      </c>
      <c r="B41" s="23" t="s">
        <v>187</v>
      </c>
      <c r="C41" s="34"/>
      <c r="D41" s="34"/>
      <c r="E41" s="34"/>
      <c r="F41" s="34"/>
      <c r="G41" s="34"/>
      <c r="H41" s="34"/>
      <c r="I41" s="34"/>
      <c r="J41" s="34"/>
      <c r="K41" s="34"/>
      <c r="L41" s="34"/>
      <c r="M41" s="34"/>
      <c r="N41" s="34"/>
      <c r="O41" s="35">
        <f t="shared" si="6"/>
        <v>0</v>
      </c>
    </row>
    <row r="42" spans="1:15" s="19" customFormat="1" ht="7.5" customHeight="1">
      <c r="A42" s="38"/>
      <c r="B42" s="25"/>
      <c r="C42" s="36"/>
      <c r="D42" s="36"/>
      <c r="E42" s="36"/>
      <c r="F42" s="36"/>
      <c r="G42" s="36"/>
      <c r="H42" s="36"/>
      <c r="I42" s="36"/>
      <c r="J42" s="36"/>
      <c r="K42" s="36"/>
      <c r="L42" s="36"/>
      <c r="M42" s="36"/>
      <c r="N42" s="36"/>
      <c r="O42" s="36"/>
    </row>
    <row r="43" spans="1:15">
      <c r="A43" s="15" t="s">
        <v>118</v>
      </c>
      <c r="B43" s="5" t="s">
        <v>166</v>
      </c>
      <c r="C43" s="13">
        <f>SUM(C44:C45)</f>
        <v>0</v>
      </c>
      <c r="D43" s="13">
        <f t="shared" ref="D43:N43" si="8">SUM(D44:D45)</f>
        <v>0</v>
      </c>
      <c r="E43" s="13">
        <f t="shared" si="8"/>
        <v>0</v>
      </c>
      <c r="F43" s="13">
        <f t="shared" si="8"/>
        <v>0</v>
      </c>
      <c r="G43" s="13">
        <f t="shared" si="8"/>
        <v>0</v>
      </c>
      <c r="H43" s="13">
        <f t="shared" si="8"/>
        <v>0</v>
      </c>
      <c r="I43" s="13">
        <f t="shared" si="8"/>
        <v>0</v>
      </c>
      <c r="J43" s="13">
        <f t="shared" si="8"/>
        <v>0</v>
      </c>
      <c r="K43" s="13">
        <f t="shared" si="8"/>
        <v>0</v>
      </c>
      <c r="L43" s="13">
        <f t="shared" si="8"/>
        <v>0</v>
      </c>
      <c r="M43" s="13">
        <f t="shared" si="8"/>
        <v>0</v>
      </c>
      <c r="N43" s="13">
        <f t="shared" si="8"/>
        <v>0</v>
      </c>
      <c r="O43" s="13">
        <f t="shared" si="6"/>
        <v>0</v>
      </c>
    </row>
    <row r="44" spans="1:15" s="19" customFormat="1">
      <c r="A44" s="20" t="s">
        <v>119</v>
      </c>
      <c r="B44" s="21" t="s">
        <v>188</v>
      </c>
      <c r="C44" s="32"/>
      <c r="D44" s="32"/>
      <c r="E44" s="32"/>
      <c r="F44" s="32"/>
      <c r="G44" s="32"/>
      <c r="H44" s="32"/>
      <c r="I44" s="32"/>
      <c r="J44" s="32"/>
      <c r="K44" s="32"/>
      <c r="L44" s="32"/>
      <c r="M44" s="32"/>
      <c r="N44" s="32"/>
      <c r="O44" s="33">
        <f t="shared" si="6"/>
        <v>0</v>
      </c>
    </row>
    <row r="45" spans="1:15" s="19" customFormat="1">
      <c r="A45" s="22" t="s">
        <v>120</v>
      </c>
      <c r="B45" s="23" t="s">
        <v>190</v>
      </c>
      <c r="C45" s="34"/>
      <c r="D45" s="34"/>
      <c r="E45" s="34"/>
      <c r="F45" s="34"/>
      <c r="G45" s="34"/>
      <c r="H45" s="34"/>
      <c r="I45" s="34"/>
      <c r="J45" s="34"/>
      <c r="K45" s="34"/>
      <c r="L45" s="34"/>
      <c r="M45" s="34"/>
      <c r="N45" s="34"/>
      <c r="O45" s="35">
        <f t="shared" si="6"/>
        <v>0</v>
      </c>
    </row>
    <row r="46" spans="1:15" s="19" customFormat="1" ht="7.5" customHeight="1">
      <c r="A46" s="38"/>
      <c r="B46" s="25"/>
      <c r="C46" s="36"/>
      <c r="D46" s="36"/>
      <c r="E46" s="36"/>
      <c r="F46" s="36"/>
      <c r="G46" s="36"/>
      <c r="H46" s="36"/>
      <c r="I46" s="36"/>
      <c r="J46" s="36"/>
      <c r="K46" s="36"/>
      <c r="L46" s="36"/>
      <c r="M46" s="36"/>
      <c r="N46" s="36"/>
      <c r="O46" s="36"/>
    </row>
    <row r="47" spans="1:15">
      <c r="A47" s="15" t="s">
        <v>121</v>
      </c>
      <c r="B47" s="5" t="s">
        <v>192</v>
      </c>
      <c r="O47" s="13">
        <f t="shared" si="6"/>
        <v>0</v>
      </c>
    </row>
    <row r="48" spans="1:15">
      <c r="A48" s="15" t="s">
        <v>122</v>
      </c>
      <c r="B48" s="5" t="s">
        <v>166</v>
      </c>
      <c r="C48" s="13">
        <f>SUM(C49:C52)</f>
        <v>0</v>
      </c>
      <c r="D48" s="13">
        <f t="shared" ref="D48:N48" si="9">SUM(D49:D52)</f>
        <v>0</v>
      </c>
      <c r="E48" s="13">
        <f t="shared" si="9"/>
        <v>0</v>
      </c>
      <c r="F48" s="13">
        <f t="shared" si="9"/>
        <v>0</v>
      </c>
      <c r="G48" s="13">
        <f t="shared" si="9"/>
        <v>0</v>
      </c>
      <c r="H48" s="13">
        <f t="shared" si="9"/>
        <v>0</v>
      </c>
      <c r="I48" s="13">
        <f t="shared" si="9"/>
        <v>0</v>
      </c>
      <c r="J48" s="13">
        <f t="shared" si="9"/>
        <v>0</v>
      </c>
      <c r="K48" s="13">
        <f t="shared" si="9"/>
        <v>0</v>
      </c>
      <c r="L48" s="13">
        <f t="shared" si="9"/>
        <v>0</v>
      </c>
      <c r="M48" s="13">
        <f t="shared" si="9"/>
        <v>0</v>
      </c>
      <c r="N48" s="13">
        <f t="shared" si="9"/>
        <v>0</v>
      </c>
      <c r="O48" s="13">
        <f t="shared" si="6"/>
        <v>0</v>
      </c>
    </row>
    <row r="49" spans="1:15" s="19" customFormat="1">
      <c r="A49" s="20" t="s">
        <v>123</v>
      </c>
      <c r="B49" s="21" t="s">
        <v>193</v>
      </c>
      <c r="C49" s="32"/>
      <c r="D49" s="32"/>
      <c r="E49" s="32"/>
      <c r="F49" s="32"/>
      <c r="G49" s="32"/>
      <c r="H49" s="32"/>
      <c r="I49" s="32"/>
      <c r="J49" s="32"/>
      <c r="K49" s="32"/>
      <c r="L49" s="32"/>
      <c r="M49" s="32"/>
      <c r="N49" s="32"/>
      <c r="O49" s="33">
        <f t="shared" si="6"/>
        <v>0</v>
      </c>
    </row>
    <row r="50" spans="1:15" s="19" customFormat="1">
      <c r="A50" s="24" t="s">
        <v>124</v>
      </c>
      <c r="B50" s="25" t="s">
        <v>194</v>
      </c>
      <c r="C50" s="36"/>
      <c r="D50" s="36"/>
      <c r="E50" s="36"/>
      <c r="F50" s="36"/>
      <c r="G50" s="36"/>
      <c r="H50" s="36"/>
      <c r="I50" s="36"/>
      <c r="J50" s="36"/>
      <c r="K50" s="36"/>
      <c r="L50" s="36"/>
      <c r="M50" s="36"/>
      <c r="N50" s="36"/>
      <c r="O50" s="37">
        <f t="shared" si="6"/>
        <v>0</v>
      </c>
    </row>
    <row r="51" spans="1:15" s="19" customFormat="1">
      <c r="A51" s="24" t="s">
        <v>386</v>
      </c>
      <c r="B51" s="25"/>
      <c r="C51" s="36"/>
      <c r="D51" s="36"/>
      <c r="E51" s="36"/>
      <c r="F51" s="36"/>
      <c r="G51" s="36"/>
      <c r="H51" s="36"/>
      <c r="I51" s="36"/>
      <c r="J51" s="36"/>
      <c r="K51" s="36"/>
      <c r="L51" s="36"/>
      <c r="M51" s="36"/>
      <c r="N51" s="36"/>
      <c r="O51" s="37"/>
    </row>
    <row r="52" spans="1:15" s="19" customFormat="1">
      <c r="A52" s="22" t="s">
        <v>125</v>
      </c>
      <c r="B52" s="23" t="s">
        <v>195</v>
      </c>
      <c r="C52" s="34"/>
      <c r="D52" s="34"/>
      <c r="E52" s="34"/>
      <c r="F52" s="34"/>
      <c r="G52" s="34"/>
      <c r="H52" s="34"/>
      <c r="I52" s="34"/>
      <c r="J52" s="34"/>
      <c r="K52" s="34"/>
      <c r="L52" s="34"/>
      <c r="M52" s="34"/>
      <c r="N52" s="34"/>
      <c r="O52" s="35">
        <f t="shared" si="6"/>
        <v>0</v>
      </c>
    </row>
    <row r="53" spans="1:15" s="19" customFormat="1" ht="7.5" customHeight="1">
      <c r="A53" s="38"/>
      <c r="B53" s="25"/>
      <c r="C53" s="36"/>
      <c r="D53" s="36"/>
      <c r="E53" s="36"/>
      <c r="F53" s="36"/>
      <c r="G53" s="36"/>
      <c r="H53" s="36"/>
      <c r="I53" s="36"/>
      <c r="J53" s="36"/>
      <c r="K53" s="36"/>
      <c r="L53" s="36"/>
      <c r="M53" s="36"/>
      <c r="N53" s="36"/>
      <c r="O53" s="36"/>
    </row>
    <row r="54" spans="1:15" s="19" customFormat="1">
      <c r="A54" s="15" t="s">
        <v>499</v>
      </c>
      <c r="B54" s="25"/>
      <c r="C54" s="36"/>
      <c r="D54" s="36"/>
      <c r="E54" s="36"/>
      <c r="F54" s="36"/>
      <c r="G54" s="36"/>
      <c r="H54" s="36"/>
      <c r="I54" s="36"/>
      <c r="J54" s="36"/>
      <c r="K54" s="36"/>
      <c r="L54" s="36"/>
      <c r="M54" s="36"/>
      <c r="N54" s="36"/>
      <c r="O54" s="13">
        <f t="shared" si="6"/>
        <v>0</v>
      </c>
    </row>
    <row r="55" spans="1:15">
      <c r="A55" s="15" t="s">
        <v>126</v>
      </c>
      <c r="C55" s="13">
        <f>SUM(C56:C60)</f>
        <v>0</v>
      </c>
      <c r="D55" s="13">
        <f t="shared" ref="D55:N55" si="10">SUM(D56:D60)</f>
        <v>0</v>
      </c>
      <c r="E55" s="13">
        <f t="shared" si="10"/>
        <v>0</v>
      </c>
      <c r="F55" s="13">
        <f t="shared" si="10"/>
        <v>0</v>
      </c>
      <c r="G55" s="13">
        <f t="shared" si="10"/>
        <v>0</v>
      </c>
      <c r="H55" s="13">
        <f t="shared" si="10"/>
        <v>0</v>
      </c>
      <c r="I55" s="13">
        <f t="shared" si="10"/>
        <v>0</v>
      </c>
      <c r="J55" s="13">
        <f t="shared" si="10"/>
        <v>0</v>
      </c>
      <c r="K55" s="13">
        <f t="shared" si="10"/>
        <v>0</v>
      </c>
      <c r="L55" s="13">
        <f t="shared" si="10"/>
        <v>0</v>
      </c>
      <c r="M55" s="13">
        <f t="shared" si="10"/>
        <v>0</v>
      </c>
      <c r="N55" s="13">
        <f t="shared" si="10"/>
        <v>0</v>
      </c>
      <c r="O55" s="13">
        <f t="shared" si="6"/>
        <v>0</v>
      </c>
    </row>
    <row r="56" spans="1:15" s="19" customFormat="1">
      <c r="A56" s="20" t="s">
        <v>127</v>
      </c>
      <c r="B56" s="21" t="s">
        <v>196</v>
      </c>
      <c r="C56" s="32"/>
      <c r="D56" s="32"/>
      <c r="E56" s="32"/>
      <c r="F56" s="32"/>
      <c r="G56" s="32"/>
      <c r="H56" s="32"/>
      <c r="I56" s="32"/>
      <c r="J56" s="32"/>
      <c r="K56" s="32"/>
      <c r="L56" s="32"/>
      <c r="M56" s="32"/>
      <c r="N56" s="32"/>
      <c r="O56" s="33">
        <f t="shared" si="6"/>
        <v>0</v>
      </c>
    </row>
    <row r="57" spans="1:15" s="19" customFormat="1">
      <c r="A57" s="24" t="s">
        <v>128</v>
      </c>
      <c r="B57" s="25" t="s">
        <v>197</v>
      </c>
      <c r="C57" s="36"/>
      <c r="D57" s="36"/>
      <c r="E57" s="36"/>
      <c r="F57" s="36"/>
      <c r="G57" s="36"/>
      <c r="H57" s="36"/>
      <c r="I57" s="36"/>
      <c r="J57" s="36"/>
      <c r="K57" s="36"/>
      <c r="L57" s="36"/>
      <c r="M57" s="36"/>
      <c r="N57" s="36"/>
      <c r="O57" s="37">
        <f t="shared" si="6"/>
        <v>0</v>
      </c>
    </row>
    <row r="58" spans="1:15" s="19" customFormat="1">
      <c r="A58" s="24" t="s">
        <v>129</v>
      </c>
      <c r="B58" s="25" t="s">
        <v>198</v>
      </c>
      <c r="C58" s="36"/>
      <c r="D58" s="36"/>
      <c r="E58" s="36"/>
      <c r="F58" s="36"/>
      <c r="G58" s="36"/>
      <c r="H58" s="36"/>
      <c r="I58" s="36"/>
      <c r="J58" s="36"/>
      <c r="K58" s="36"/>
      <c r="L58" s="36"/>
      <c r="M58" s="36"/>
      <c r="N58" s="36"/>
      <c r="O58" s="37">
        <f t="shared" si="6"/>
        <v>0</v>
      </c>
    </row>
    <row r="59" spans="1:15" s="19" customFormat="1">
      <c r="A59" s="24" t="s">
        <v>81</v>
      </c>
      <c r="B59" s="25" t="s">
        <v>199</v>
      </c>
      <c r="C59" s="36"/>
      <c r="D59" s="36"/>
      <c r="E59" s="36"/>
      <c r="F59" s="36"/>
      <c r="G59" s="36"/>
      <c r="H59" s="36"/>
      <c r="I59" s="36"/>
      <c r="J59" s="36"/>
      <c r="K59" s="36"/>
      <c r="L59" s="36"/>
      <c r="M59" s="36"/>
      <c r="N59" s="36"/>
      <c r="O59" s="37">
        <f t="shared" si="6"/>
        <v>0</v>
      </c>
    </row>
    <row r="60" spans="1:15" s="19" customFormat="1">
      <c r="A60" s="22" t="s">
        <v>200</v>
      </c>
      <c r="B60" s="23" t="s">
        <v>201</v>
      </c>
      <c r="C60" s="34">
        <f>C75</f>
        <v>0</v>
      </c>
      <c r="D60" s="34">
        <f t="shared" ref="D60:N60" si="11">D75</f>
        <v>0</v>
      </c>
      <c r="E60" s="34">
        <f t="shared" si="11"/>
        <v>0</v>
      </c>
      <c r="F60" s="34">
        <f t="shared" si="11"/>
        <v>0</v>
      </c>
      <c r="G60" s="34">
        <f t="shared" si="11"/>
        <v>0</v>
      </c>
      <c r="H60" s="34">
        <f t="shared" si="11"/>
        <v>0</v>
      </c>
      <c r="I60" s="34">
        <f t="shared" si="11"/>
        <v>0</v>
      </c>
      <c r="J60" s="34">
        <f t="shared" si="11"/>
        <v>0</v>
      </c>
      <c r="K60" s="34">
        <f t="shared" si="11"/>
        <v>0</v>
      </c>
      <c r="L60" s="34">
        <f t="shared" si="11"/>
        <v>0</v>
      </c>
      <c r="M60" s="34">
        <f t="shared" si="11"/>
        <v>0</v>
      </c>
      <c r="N60" s="34">
        <f t="shared" si="11"/>
        <v>0</v>
      </c>
      <c r="O60" s="35">
        <f t="shared" si="6"/>
        <v>0</v>
      </c>
    </row>
    <row r="61" spans="1:15" s="19" customFormat="1">
      <c r="A61" s="38"/>
      <c r="B61" s="25"/>
      <c r="C61" s="36"/>
      <c r="D61" s="36"/>
      <c r="E61" s="36"/>
      <c r="F61" s="36"/>
      <c r="G61" s="36"/>
      <c r="H61" s="36"/>
      <c r="I61" s="36"/>
      <c r="J61" s="36"/>
      <c r="K61" s="36"/>
      <c r="L61" s="36"/>
      <c r="M61" s="36"/>
      <c r="N61" s="36"/>
      <c r="O61" s="36"/>
    </row>
    <row r="62" spans="1:15" s="19" customFormat="1" ht="14.65" thickBot="1">
      <c r="A62" s="7" t="s">
        <v>131</v>
      </c>
      <c r="B62" s="25"/>
      <c r="C62" s="28">
        <f>C55+C48+C47+C43+C38+C37+C33+C21+C20+C19+C15+C14+C13</f>
        <v>0</v>
      </c>
      <c r="D62" s="28">
        <f t="shared" ref="D62:O62" si="12">D55+D48+D47+D43+D38+D37+D33+D21+D20+D19+D15+D14+D13</f>
        <v>0</v>
      </c>
      <c r="E62" s="28">
        <f t="shared" si="12"/>
        <v>0</v>
      </c>
      <c r="F62" s="28">
        <f t="shared" si="12"/>
        <v>0</v>
      </c>
      <c r="G62" s="28">
        <f t="shared" si="12"/>
        <v>0</v>
      </c>
      <c r="H62" s="28">
        <f t="shared" si="12"/>
        <v>0</v>
      </c>
      <c r="I62" s="28">
        <f t="shared" si="12"/>
        <v>0</v>
      </c>
      <c r="J62" s="28">
        <f t="shared" si="12"/>
        <v>0</v>
      </c>
      <c r="K62" s="28">
        <f t="shared" si="12"/>
        <v>0</v>
      </c>
      <c r="L62" s="28">
        <f t="shared" si="12"/>
        <v>0</v>
      </c>
      <c r="M62" s="28">
        <f t="shared" si="12"/>
        <v>0</v>
      </c>
      <c r="N62" s="28">
        <f t="shared" si="12"/>
        <v>0</v>
      </c>
      <c r="O62" s="28">
        <f t="shared" si="12"/>
        <v>0</v>
      </c>
    </row>
    <row r="63" spans="1:15" s="19" customFormat="1">
      <c r="A63" s="7"/>
      <c r="B63" s="25"/>
      <c r="C63" s="36"/>
      <c r="D63" s="36"/>
      <c r="E63" s="36"/>
      <c r="F63" s="36"/>
      <c r="G63" s="36"/>
      <c r="H63" s="36"/>
      <c r="I63" s="36"/>
      <c r="J63" s="36"/>
      <c r="K63" s="36"/>
      <c r="L63" s="36"/>
      <c r="M63" s="36"/>
      <c r="N63" s="36"/>
      <c r="O63" s="36"/>
    </row>
    <row r="64" spans="1:15" s="19" customFormat="1" ht="14.65" thickBot="1">
      <c r="A64" s="7" t="s">
        <v>132</v>
      </c>
      <c r="B64" s="25"/>
      <c r="C64" s="28">
        <f>C62+C10</f>
        <v>0</v>
      </c>
      <c r="D64" s="28">
        <f t="shared" ref="D64:O64" si="13">D62+D10</f>
        <v>0</v>
      </c>
      <c r="E64" s="28">
        <f t="shared" si="13"/>
        <v>0</v>
      </c>
      <c r="F64" s="28">
        <f t="shared" si="13"/>
        <v>0</v>
      </c>
      <c r="G64" s="28">
        <f t="shared" si="13"/>
        <v>0</v>
      </c>
      <c r="H64" s="28">
        <f t="shared" si="13"/>
        <v>0</v>
      </c>
      <c r="I64" s="28">
        <f t="shared" si="13"/>
        <v>0</v>
      </c>
      <c r="J64" s="28">
        <f t="shared" si="13"/>
        <v>0</v>
      </c>
      <c r="K64" s="28">
        <f t="shared" si="13"/>
        <v>0</v>
      </c>
      <c r="L64" s="28">
        <f t="shared" si="13"/>
        <v>0</v>
      </c>
      <c r="M64" s="28">
        <f t="shared" si="13"/>
        <v>0</v>
      </c>
      <c r="N64" s="28">
        <f t="shared" si="13"/>
        <v>0</v>
      </c>
      <c r="O64" s="28">
        <f t="shared" si="13"/>
        <v>0</v>
      </c>
    </row>
    <row r="65" spans="1:15">
      <c r="B65" s="8"/>
    </row>
    <row r="66" spans="1:15">
      <c r="A66" s="7" t="s">
        <v>387</v>
      </c>
    </row>
    <row r="67" spans="1:15">
      <c r="A67" t="s">
        <v>388</v>
      </c>
      <c r="O67" s="13">
        <f t="shared" ref="O67:O74" si="14">SUM(C67:N67)</f>
        <v>0</v>
      </c>
    </row>
    <row r="68" spans="1:15">
      <c r="A68" t="s">
        <v>389</v>
      </c>
      <c r="O68" s="13">
        <f t="shared" si="14"/>
        <v>0</v>
      </c>
    </row>
    <row r="69" spans="1:15">
      <c r="A69" t="s">
        <v>390</v>
      </c>
      <c r="O69" s="13">
        <f t="shared" si="14"/>
        <v>0</v>
      </c>
    </row>
    <row r="70" spans="1:15">
      <c r="A70" t="s">
        <v>391</v>
      </c>
      <c r="O70" s="13">
        <f t="shared" si="14"/>
        <v>0</v>
      </c>
    </row>
    <row r="71" spans="1:15">
      <c r="A71" t="s">
        <v>392</v>
      </c>
      <c r="O71" s="13">
        <f t="shared" si="14"/>
        <v>0</v>
      </c>
    </row>
    <row r="72" spans="1:15">
      <c r="A72" t="s">
        <v>382</v>
      </c>
      <c r="O72" s="13">
        <f t="shared" si="14"/>
        <v>0</v>
      </c>
    </row>
    <row r="73" spans="1:15">
      <c r="A73" t="s">
        <v>393</v>
      </c>
      <c r="O73" s="13">
        <f t="shared" si="14"/>
        <v>0</v>
      </c>
    </row>
    <row r="74" spans="1:15">
      <c r="A74" t="s">
        <v>394</v>
      </c>
      <c r="O74" s="13">
        <f t="shared" si="14"/>
        <v>0</v>
      </c>
    </row>
    <row r="75" spans="1:15">
      <c r="A75" s="7" t="s">
        <v>395</v>
      </c>
      <c r="C75" s="26">
        <f t="shared" ref="C75:O75" si="15">SUM(C67:C74)</f>
        <v>0</v>
      </c>
      <c r="D75" s="26">
        <f t="shared" si="15"/>
        <v>0</v>
      </c>
      <c r="E75" s="26">
        <f t="shared" si="15"/>
        <v>0</v>
      </c>
      <c r="F75" s="26">
        <f t="shared" si="15"/>
        <v>0</v>
      </c>
      <c r="G75" s="26">
        <f t="shared" si="15"/>
        <v>0</v>
      </c>
      <c r="H75" s="26">
        <f t="shared" si="15"/>
        <v>0</v>
      </c>
      <c r="I75" s="26">
        <f t="shared" si="15"/>
        <v>0</v>
      </c>
      <c r="J75" s="26">
        <f t="shared" si="15"/>
        <v>0</v>
      </c>
      <c r="K75" s="26">
        <f t="shared" si="15"/>
        <v>0</v>
      </c>
      <c r="L75" s="26">
        <f t="shared" si="15"/>
        <v>0</v>
      </c>
      <c r="M75" s="26">
        <f t="shared" si="15"/>
        <v>0</v>
      </c>
      <c r="N75" s="26">
        <f t="shared" si="15"/>
        <v>0</v>
      </c>
      <c r="O75" s="26">
        <f t="shared" si="15"/>
        <v>0</v>
      </c>
    </row>
  </sheetData>
  <pageMargins left="0.70866141732283472" right="0.70866141732283472" top="0.74803149606299213" bottom="0.74803149606299213" header="0.31496062992125984" footer="0.31496062992125984"/>
  <pageSetup paperSize="8" scale="59" orientation="portrait" r:id="rId1"/>
  <headerFooter alignWithMargins="0">
    <oddHeader>&amp;A</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39"/>
  <sheetViews>
    <sheetView zoomScaleNormal="100" workbookViewId="0">
      <selection activeCell="N1" sqref="N1"/>
    </sheetView>
  </sheetViews>
  <sheetFormatPr defaultRowHeight="14.25"/>
  <cols>
    <col min="1" max="1" width="34.42578125" bestFit="1" customWidth="1"/>
    <col min="2" max="6" width="11" style="10" bestFit="1" customWidth="1"/>
    <col min="7" max="8" width="11" style="10" customWidth="1"/>
    <col min="9" max="9" width="12" style="10" bestFit="1" customWidth="1"/>
    <col min="10" max="13" width="11" style="10" customWidth="1"/>
    <col min="14" max="14" width="11" style="10" bestFit="1" customWidth="1"/>
    <col min="15" max="15" width="3" customWidth="1"/>
    <col min="16" max="16" width="11" bestFit="1" customWidth="1"/>
    <col min="17" max="17" width="12" bestFit="1" customWidth="1"/>
  </cols>
  <sheetData>
    <row r="1" spans="1:17">
      <c r="A1" s="1" t="s">
        <v>0</v>
      </c>
    </row>
    <row r="2" spans="1:17">
      <c r="A2" s="1" t="s">
        <v>516</v>
      </c>
    </row>
    <row r="3" spans="1:17">
      <c r="A3" s="1">
        <f>'Income - Overall'!A3</f>
        <v>46173</v>
      </c>
      <c r="P3" s="14" t="s">
        <v>11</v>
      </c>
    </row>
    <row r="4" spans="1:17">
      <c r="A4" s="1"/>
      <c r="P4" s="14" t="s">
        <v>13</v>
      </c>
    </row>
    <row r="5" spans="1:17">
      <c r="P5" s="68">
        <v>2013</v>
      </c>
      <c r="Q5" s="13"/>
    </row>
    <row r="6" spans="1:17">
      <c r="B6" s="43" t="s">
        <v>33</v>
      </c>
      <c r="C6" s="43" t="s">
        <v>22</v>
      </c>
      <c r="D6" s="43" t="s">
        <v>23</v>
      </c>
      <c r="E6" s="43" t="s">
        <v>24</v>
      </c>
      <c r="F6" s="43" t="s">
        <v>25</v>
      </c>
      <c r="G6" s="43" t="s">
        <v>26</v>
      </c>
      <c r="H6" s="43" t="s">
        <v>27</v>
      </c>
      <c r="I6" s="43" t="s">
        <v>28</v>
      </c>
      <c r="J6" s="43" t="s">
        <v>29</v>
      </c>
      <c r="K6" s="43" t="s">
        <v>30</v>
      </c>
      <c r="L6" s="43" t="s">
        <v>31</v>
      </c>
      <c r="M6" s="43" t="s">
        <v>32</v>
      </c>
      <c r="N6" s="43" t="s">
        <v>33</v>
      </c>
      <c r="P6" s="31" t="s">
        <v>43</v>
      </c>
      <c r="Q6" s="31" t="s">
        <v>36</v>
      </c>
    </row>
    <row r="7" spans="1:17">
      <c r="A7" s="70" t="s">
        <v>517</v>
      </c>
    </row>
    <row r="8" spans="1:17">
      <c r="A8" s="15" t="s">
        <v>518</v>
      </c>
      <c r="B8" s="4">
        <v>10361.959999999999</v>
      </c>
      <c r="C8" s="4">
        <f>B20</f>
        <v>21319.86</v>
      </c>
      <c r="D8" s="4">
        <f>C20</f>
        <v>93539.81</v>
      </c>
      <c r="E8" s="4">
        <f t="shared" ref="E8:N8" si="0">D20</f>
        <v>44288.29</v>
      </c>
      <c r="F8" s="4">
        <f t="shared" si="0"/>
        <v>40831.61</v>
      </c>
      <c r="G8" s="4">
        <f t="shared" si="0"/>
        <v>42224.88</v>
      </c>
      <c r="H8" s="4">
        <f t="shared" si="0"/>
        <v>235914.5</v>
      </c>
      <c r="I8" s="4">
        <f t="shared" si="0"/>
        <v>233537.26</v>
      </c>
      <c r="J8" s="4">
        <f t="shared" si="0"/>
        <v>30853.049999999988</v>
      </c>
      <c r="K8" s="4">
        <f t="shared" si="0"/>
        <v>39454.01</v>
      </c>
      <c r="L8" s="4">
        <f t="shared" si="0"/>
        <v>21870.85</v>
      </c>
      <c r="M8" s="4">
        <f t="shared" si="0"/>
        <v>20835.93</v>
      </c>
      <c r="N8" s="4">
        <f t="shared" si="0"/>
        <v>17044.810000000001</v>
      </c>
      <c r="O8" s="4"/>
      <c r="P8" s="4">
        <v>22121.45</v>
      </c>
      <c r="Q8" s="4">
        <f>N8-P8</f>
        <v>-5076.6399999999994</v>
      </c>
    </row>
    <row r="9" spans="1:17">
      <c r="A9" s="15" t="s">
        <v>519</v>
      </c>
      <c r="B9" s="4">
        <v>5505</v>
      </c>
      <c r="C9" s="4">
        <f>B21</f>
        <v>5980</v>
      </c>
      <c r="D9" s="4">
        <f>C21</f>
        <v>6340</v>
      </c>
      <c r="E9" s="4">
        <f t="shared" ref="E9:N10" si="1">D21</f>
        <v>6700</v>
      </c>
      <c r="F9" s="4">
        <f t="shared" si="1"/>
        <v>7060</v>
      </c>
      <c r="G9" s="4">
        <f t="shared" si="1"/>
        <v>7415</v>
      </c>
      <c r="H9" s="4">
        <f t="shared" si="1"/>
        <v>7725</v>
      </c>
      <c r="I9" s="4">
        <f t="shared" si="1"/>
        <v>8035</v>
      </c>
      <c r="J9" s="4">
        <f t="shared" si="1"/>
        <v>8345</v>
      </c>
      <c r="K9" s="4">
        <f t="shared" si="1"/>
        <v>8655</v>
      </c>
      <c r="L9" s="4">
        <f t="shared" si="1"/>
        <v>9015</v>
      </c>
      <c r="M9" s="4">
        <f t="shared" si="1"/>
        <v>9325</v>
      </c>
      <c r="N9" s="4">
        <f t="shared" si="1"/>
        <v>9635</v>
      </c>
      <c r="O9" s="4"/>
      <c r="P9" s="4">
        <v>3500</v>
      </c>
      <c r="Q9" s="4">
        <f>N9-P9</f>
        <v>6135</v>
      </c>
    </row>
    <row r="10" spans="1:17">
      <c r="A10" s="15" t="s">
        <v>520</v>
      </c>
      <c r="B10" s="4"/>
      <c r="C10" s="4"/>
      <c r="D10" s="4"/>
      <c r="E10" s="4"/>
      <c r="F10" s="4"/>
      <c r="G10" s="4">
        <f t="shared" si="1"/>
        <v>0</v>
      </c>
      <c r="H10" s="4">
        <f t="shared" si="1"/>
        <v>81.02</v>
      </c>
      <c r="I10" s="4">
        <f t="shared" si="1"/>
        <v>0.95999999999999375</v>
      </c>
      <c r="J10" s="4">
        <f t="shared" si="1"/>
        <v>129.45999999999998</v>
      </c>
      <c r="K10" s="4">
        <f t="shared" si="1"/>
        <v>129.45999999999998</v>
      </c>
      <c r="L10" s="4">
        <f t="shared" si="1"/>
        <v>461.33</v>
      </c>
      <c r="M10" s="4">
        <f t="shared" si="1"/>
        <v>481.33</v>
      </c>
      <c r="N10" s="4">
        <f t="shared" si="1"/>
        <v>781.32999999999993</v>
      </c>
      <c r="O10" s="4"/>
      <c r="P10" s="4">
        <v>0</v>
      </c>
      <c r="Q10" s="4">
        <f>N10-P10</f>
        <v>781.32999999999993</v>
      </c>
    </row>
    <row r="11" spans="1:17">
      <c r="A11" s="15" t="s">
        <v>216</v>
      </c>
      <c r="B11" s="71">
        <f>SUM(B8:B9)</f>
        <v>15866.96</v>
      </c>
      <c r="C11" s="71">
        <f>SUM(C8:C9)</f>
        <v>27299.86</v>
      </c>
      <c r="D11" s="71">
        <f t="shared" ref="D11:N11" si="2">SUM(D8:D9)</f>
        <v>99879.81</v>
      </c>
      <c r="E11" s="71">
        <f t="shared" si="2"/>
        <v>50988.29</v>
      </c>
      <c r="F11" s="71">
        <f t="shared" si="2"/>
        <v>47891.61</v>
      </c>
      <c r="G11" s="71">
        <f t="shared" si="2"/>
        <v>49639.88</v>
      </c>
      <c r="H11" s="71">
        <f t="shared" si="2"/>
        <v>243639.5</v>
      </c>
      <c r="I11" s="71">
        <f t="shared" si="2"/>
        <v>241572.26</v>
      </c>
      <c r="J11" s="71">
        <f t="shared" si="2"/>
        <v>39198.049999999988</v>
      </c>
      <c r="K11" s="71">
        <f t="shared" si="2"/>
        <v>48109.01</v>
      </c>
      <c r="L11" s="71">
        <f t="shared" si="2"/>
        <v>30885.85</v>
      </c>
      <c r="M11" s="71">
        <f t="shared" si="2"/>
        <v>30160.93</v>
      </c>
      <c r="N11" s="71">
        <f t="shared" si="2"/>
        <v>26679.81</v>
      </c>
      <c r="O11" s="4"/>
      <c r="P11" s="71">
        <f>SUM(P8:P9)</f>
        <v>25621.45</v>
      </c>
      <c r="Q11" s="71">
        <f>SUM(Q8:Q9)</f>
        <v>1058.3600000000006</v>
      </c>
    </row>
    <row r="12" spans="1:17">
      <c r="B12" s="4"/>
      <c r="C12" s="4"/>
      <c r="D12" s="4"/>
      <c r="E12" s="4"/>
      <c r="F12" s="4"/>
      <c r="G12" s="4"/>
      <c r="H12" s="4"/>
      <c r="I12" s="4"/>
      <c r="J12" s="4"/>
      <c r="K12" s="4"/>
      <c r="L12" s="4"/>
      <c r="M12" s="4"/>
      <c r="N12" s="4"/>
      <c r="O12" s="4"/>
      <c r="P12" s="4"/>
      <c r="Q12" s="4"/>
    </row>
    <row r="13" spans="1:17">
      <c r="A13" s="70" t="s">
        <v>212</v>
      </c>
      <c r="B13" s="4"/>
      <c r="C13" s="4"/>
      <c r="D13" s="4"/>
      <c r="E13" s="4"/>
      <c r="F13" s="4"/>
      <c r="G13" s="4"/>
      <c r="H13" s="4"/>
      <c r="I13" s="4"/>
      <c r="J13" s="4"/>
      <c r="K13" s="4"/>
      <c r="L13" s="4"/>
      <c r="M13" s="4"/>
      <c r="N13" s="4"/>
      <c r="O13" s="4"/>
      <c r="P13" s="4"/>
      <c r="Q13" s="4"/>
    </row>
    <row r="14" spans="1:17">
      <c r="A14" s="15" t="s">
        <v>518</v>
      </c>
      <c r="B14" s="4">
        <f>21319.86-B8</f>
        <v>10957.900000000001</v>
      </c>
      <c r="C14" s="4">
        <f>93539.81-C8</f>
        <v>72219.95</v>
      </c>
      <c r="D14" s="4">
        <f>44288.29-D8</f>
        <v>-49251.519999999997</v>
      </c>
      <c r="E14" s="4">
        <f>40831.61-E8</f>
        <v>-3456.6800000000003</v>
      </c>
      <c r="F14" s="4">
        <f>42224.88-F8</f>
        <v>1393.2699999999968</v>
      </c>
      <c r="G14" s="4">
        <f>235914.5-G8</f>
        <v>193689.62</v>
      </c>
      <c r="H14" s="4">
        <f>233537.26-H8</f>
        <v>-2377.2399999999907</v>
      </c>
      <c r="I14" s="4">
        <f>30853.05-I8</f>
        <v>-202684.21000000002</v>
      </c>
      <c r="J14" s="4">
        <f>39454.01-J8</f>
        <v>8600.9600000000137</v>
      </c>
      <c r="K14" s="4">
        <f>21870.85-K8</f>
        <v>-17583.160000000003</v>
      </c>
      <c r="L14" s="4">
        <f>20835.93-L8</f>
        <v>-1034.9199999999983</v>
      </c>
      <c r="M14" s="4">
        <f>17044.81-M8</f>
        <v>-3791.119999999999</v>
      </c>
      <c r="N14" s="4">
        <f>32629.33-N8</f>
        <v>15584.52</v>
      </c>
      <c r="O14" s="4"/>
      <c r="P14" s="4">
        <v>-6073.58</v>
      </c>
      <c r="Q14" s="4">
        <f>N14-P14</f>
        <v>21658.1</v>
      </c>
    </row>
    <row r="15" spans="1:17">
      <c r="A15" s="15" t="s">
        <v>519</v>
      </c>
      <c r="B15" s="4">
        <f>5980-B9</f>
        <v>475</v>
      </c>
      <c r="C15" s="4">
        <f>6340-C9</f>
        <v>360</v>
      </c>
      <c r="D15" s="4">
        <v>360</v>
      </c>
      <c r="E15" s="4">
        <v>360</v>
      </c>
      <c r="F15" s="4">
        <v>355</v>
      </c>
      <c r="G15" s="4">
        <v>310</v>
      </c>
      <c r="H15" s="4">
        <v>310</v>
      </c>
      <c r="I15" s="4">
        <v>310</v>
      </c>
      <c r="J15" s="4">
        <f>8655-J9</f>
        <v>310</v>
      </c>
      <c r="K15" s="4">
        <f>9015-K9</f>
        <v>360</v>
      </c>
      <c r="L15" s="4">
        <f>9325-L9</f>
        <v>310</v>
      </c>
      <c r="M15" s="4">
        <v>310</v>
      </c>
      <c r="N15" s="4">
        <f>9995-N9</f>
        <v>360</v>
      </c>
      <c r="O15" s="4"/>
      <c r="P15" s="4">
        <v>260</v>
      </c>
      <c r="Q15" s="4">
        <f>N15-P15</f>
        <v>100</v>
      </c>
    </row>
    <row r="16" spans="1:17">
      <c r="A16" s="15" t="s">
        <v>520</v>
      </c>
      <c r="B16" s="4"/>
      <c r="C16" s="4"/>
      <c r="D16" s="4"/>
      <c r="E16" s="4"/>
      <c r="F16" s="4"/>
      <c r="G16" s="4">
        <v>81.02</v>
      </c>
      <c r="H16" s="4">
        <f>0.96-H10</f>
        <v>-80.06</v>
      </c>
      <c r="I16" s="4">
        <f>129.46-I10</f>
        <v>128.5</v>
      </c>
      <c r="J16" s="4"/>
      <c r="K16" s="4">
        <f>461.33-K10</f>
        <v>331.87</v>
      </c>
      <c r="L16" s="4">
        <f>481.33-L10</f>
        <v>20</v>
      </c>
      <c r="M16" s="4">
        <v>300</v>
      </c>
      <c r="N16" s="4">
        <f>1641.97-N10</f>
        <v>860.6400000000001</v>
      </c>
      <c r="O16" s="4"/>
      <c r="P16" s="4">
        <v>0</v>
      </c>
      <c r="Q16" s="4">
        <f>N16-P16</f>
        <v>860.6400000000001</v>
      </c>
    </row>
    <row r="17" spans="1:17">
      <c r="A17" s="15" t="s">
        <v>216</v>
      </c>
      <c r="B17" s="71">
        <f t="shared" ref="B17:N17" si="3">SUM(B14:B15)</f>
        <v>11432.900000000001</v>
      </c>
      <c r="C17" s="71">
        <f t="shared" si="3"/>
        <v>72579.95</v>
      </c>
      <c r="D17" s="71">
        <f t="shared" si="3"/>
        <v>-48891.519999999997</v>
      </c>
      <c r="E17" s="71">
        <f t="shared" si="3"/>
        <v>-3096.6800000000003</v>
      </c>
      <c r="F17" s="71">
        <f t="shared" si="3"/>
        <v>1748.2699999999968</v>
      </c>
      <c r="G17" s="71">
        <f t="shared" si="3"/>
        <v>193999.62</v>
      </c>
      <c r="H17" s="71">
        <f t="shared" si="3"/>
        <v>-2067.2399999999907</v>
      </c>
      <c r="I17" s="71">
        <f t="shared" si="3"/>
        <v>-202374.21000000002</v>
      </c>
      <c r="J17" s="71">
        <f t="shared" si="3"/>
        <v>8910.9600000000137</v>
      </c>
      <c r="K17" s="71">
        <f t="shared" si="3"/>
        <v>-17223.160000000003</v>
      </c>
      <c r="L17" s="71">
        <f t="shared" si="3"/>
        <v>-724.91999999999825</v>
      </c>
      <c r="M17" s="71">
        <f t="shared" si="3"/>
        <v>-3481.119999999999</v>
      </c>
      <c r="N17" s="71">
        <f t="shared" si="3"/>
        <v>15944.52</v>
      </c>
      <c r="O17" s="4"/>
      <c r="P17" s="71">
        <f>SUM(P14:P15)</f>
        <v>-5813.58</v>
      </c>
      <c r="Q17" s="71">
        <f>SUM(Q14:Q15)</f>
        <v>21758.1</v>
      </c>
    </row>
    <row r="18" spans="1:17">
      <c r="B18" s="4"/>
      <c r="C18" s="4"/>
      <c r="D18" s="4"/>
      <c r="E18" s="4"/>
      <c r="F18" s="4"/>
      <c r="G18" s="4"/>
      <c r="H18" s="4"/>
      <c r="I18" s="4"/>
      <c r="J18" s="4"/>
      <c r="K18" s="4"/>
      <c r="L18" s="4"/>
      <c r="M18" s="4"/>
      <c r="N18" s="4"/>
      <c r="O18" s="4"/>
      <c r="P18" s="4"/>
      <c r="Q18" s="4"/>
    </row>
    <row r="19" spans="1:17">
      <c r="A19" s="70" t="s">
        <v>521</v>
      </c>
      <c r="B19" s="4"/>
      <c r="C19" s="4"/>
      <c r="D19" s="4"/>
      <c r="E19" s="4"/>
      <c r="F19" s="4"/>
      <c r="G19" s="4"/>
      <c r="H19" s="4"/>
      <c r="I19" s="4"/>
      <c r="J19" s="4"/>
      <c r="K19" s="4"/>
      <c r="L19" s="4"/>
      <c r="M19" s="4"/>
      <c r="N19" s="4"/>
      <c r="O19" s="4"/>
      <c r="P19" s="4"/>
      <c r="Q19" s="4"/>
    </row>
    <row r="20" spans="1:17">
      <c r="A20" s="15" t="s">
        <v>518</v>
      </c>
      <c r="B20" s="4">
        <f>B8+B14</f>
        <v>21319.86</v>
      </c>
      <c r="C20" s="4">
        <f>C8+C14</f>
        <v>93539.81</v>
      </c>
      <c r="D20" s="4">
        <f>D8+D14</f>
        <v>44288.29</v>
      </c>
      <c r="E20" s="4">
        <f t="shared" ref="E20:P20" si="4">E8+E14</f>
        <v>40831.61</v>
      </c>
      <c r="F20" s="4">
        <f t="shared" si="4"/>
        <v>42224.88</v>
      </c>
      <c r="G20" s="4">
        <f t="shared" si="4"/>
        <v>235914.5</v>
      </c>
      <c r="H20" s="4">
        <f t="shared" si="4"/>
        <v>233537.26</v>
      </c>
      <c r="I20" s="4">
        <f t="shared" si="4"/>
        <v>30853.049999999988</v>
      </c>
      <c r="J20" s="4">
        <f t="shared" si="4"/>
        <v>39454.01</v>
      </c>
      <c r="K20" s="4">
        <f t="shared" si="4"/>
        <v>21870.85</v>
      </c>
      <c r="L20" s="4">
        <f t="shared" si="4"/>
        <v>20835.93</v>
      </c>
      <c r="M20" s="4">
        <f t="shared" si="4"/>
        <v>17044.810000000001</v>
      </c>
      <c r="N20" s="4">
        <f t="shared" si="4"/>
        <v>32629.33</v>
      </c>
      <c r="O20" s="4"/>
      <c r="P20" s="4">
        <f t="shared" si="4"/>
        <v>16047.87</v>
      </c>
      <c r="Q20" s="4">
        <f>N20-P20</f>
        <v>16581.46</v>
      </c>
    </row>
    <row r="21" spans="1:17">
      <c r="A21" s="15" t="s">
        <v>519</v>
      </c>
      <c r="B21" s="4">
        <f>B9+B15</f>
        <v>5980</v>
      </c>
      <c r="C21" s="4">
        <f>C9+C15</f>
        <v>6340</v>
      </c>
      <c r="D21" s="4">
        <f t="shared" ref="D21:N22" si="5">D9+D15</f>
        <v>6700</v>
      </c>
      <c r="E21" s="4">
        <f t="shared" si="5"/>
        <v>7060</v>
      </c>
      <c r="F21" s="4">
        <f t="shared" si="5"/>
        <v>7415</v>
      </c>
      <c r="G21" s="4">
        <f t="shared" si="5"/>
        <v>7725</v>
      </c>
      <c r="H21" s="4">
        <f t="shared" si="5"/>
        <v>8035</v>
      </c>
      <c r="I21" s="4">
        <f t="shared" si="5"/>
        <v>8345</v>
      </c>
      <c r="J21" s="4">
        <f t="shared" si="5"/>
        <v>8655</v>
      </c>
      <c r="K21" s="4">
        <f t="shared" si="5"/>
        <v>9015</v>
      </c>
      <c r="L21" s="4">
        <f t="shared" si="5"/>
        <v>9325</v>
      </c>
      <c r="M21" s="4">
        <f t="shared" si="5"/>
        <v>9635</v>
      </c>
      <c r="N21" s="4">
        <f t="shared" si="5"/>
        <v>9995</v>
      </c>
      <c r="O21" s="4"/>
      <c r="P21" s="4">
        <f>P9+P15</f>
        <v>3760</v>
      </c>
      <c r="Q21" s="4">
        <f>N21-P21</f>
        <v>6235</v>
      </c>
    </row>
    <row r="22" spans="1:17">
      <c r="A22" s="15" t="s">
        <v>520</v>
      </c>
      <c r="B22" s="4"/>
      <c r="C22" s="4"/>
      <c r="D22" s="4"/>
      <c r="E22" s="4"/>
      <c r="F22" s="4"/>
      <c r="G22" s="4">
        <f t="shared" si="5"/>
        <v>81.02</v>
      </c>
      <c r="H22" s="4">
        <f t="shared" si="5"/>
        <v>0.95999999999999375</v>
      </c>
      <c r="I22" s="4">
        <f t="shared" si="5"/>
        <v>129.45999999999998</v>
      </c>
      <c r="J22" s="4">
        <f t="shared" si="5"/>
        <v>129.45999999999998</v>
      </c>
      <c r="K22" s="4">
        <f t="shared" si="5"/>
        <v>461.33</v>
      </c>
      <c r="L22" s="4">
        <f t="shared" si="5"/>
        <v>481.33</v>
      </c>
      <c r="M22" s="4">
        <f t="shared" si="5"/>
        <v>781.32999999999993</v>
      </c>
      <c r="N22" s="4">
        <f t="shared" si="5"/>
        <v>1641.97</v>
      </c>
      <c r="O22" s="4"/>
      <c r="P22" s="4">
        <f>P10+P16</f>
        <v>0</v>
      </c>
      <c r="Q22" s="4">
        <f>N22-P22</f>
        <v>1641.97</v>
      </c>
    </row>
    <row r="23" spans="1:17">
      <c r="A23" s="15" t="s">
        <v>216</v>
      </c>
      <c r="B23" s="71">
        <f t="shared" ref="B23:N23" si="6">SUM(B20:B21)</f>
        <v>27299.86</v>
      </c>
      <c r="C23" s="71">
        <f t="shared" si="6"/>
        <v>99879.81</v>
      </c>
      <c r="D23" s="71">
        <f t="shared" si="6"/>
        <v>50988.29</v>
      </c>
      <c r="E23" s="71">
        <f t="shared" si="6"/>
        <v>47891.61</v>
      </c>
      <c r="F23" s="71">
        <f t="shared" si="6"/>
        <v>49639.88</v>
      </c>
      <c r="G23" s="71">
        <f t="shared" si="6"/>
        <v>243639.5</v>
      </c>
      <c r="H23" s="71">
        <f t="shared" si="6"/>
        <v>241572.26</v>
      </c>
      <c r="I23" s="71">
        <f t="shared" si="6"/>
        <v>39198.049999999988</v>
      </c>
      <c r="J23" s="71">
        <f t="shared" si="6"/>
        <v>48109.01</v>
      </c>
      <c r="K23" s="71">
        <f t="shared" si="6"/>
        <v>30885.85</v>
      </c>
      <c r="L23" s="71">
        <f t="shared" si="6"/>
        <v>30160.93</v>
      </c>
      <c r="M23" s="71">
        <f t="shared" si="6"/>
        <v>26679.81</v>
      </c>
      <c r="N23" s="71">
        <f t="shared" si="6"/>
        <v>42624.33</v>
      </c>
      <c r="O23" s="4"/>
      <c r="P23" s="71">
        <f>SUM(P20:P21)</f>
        <v>19807.870000000003</v>
      </c>
      <c r="Q23" s="71">
        <f>SUM(Q20:Q21)</f>
        <v>22816.46</v>
      </c>
    </row>
    <row r="24" spans="1:17">
      <c r="B24" s="4"/>
      <c r="C24" s="4"/>
      <c r="D24" s="4"/>
      <c r="E24" s="4"/>
      <c r="F24" s="4"/>
      <c r="G24" s="4"/>
      <c r="H24" s="4"/>
      <c r="I24" s="4"/>
      <c r="J24" s="4"/>
      <c r="K24" s="4"/>
      <c r="L24" s="4"/>
      <c r="M24" s="4"/>
      <c r="N24" s="4"/>
      <c r="O24" s="4"/>
      <c r="P24" s="4"/>
      <c r="Q24" s="4"/>
    </row>
    <row r="25" spans="1:17">
      <c r="A25" s="40" t="s">
        <v>522</v>
      </c>
      <c r="B25" s="4"/>
      <c r="C25" s="4"/>
      <c r="D25" s="4"/>
      <c r="E25" s="4"/>
      <c r="F25" s="4"/>
      <c r="G25" s="4"/>
      <c r="H25" s="4"/>
      <c r="I25" s="4"/>
      <c r="J25" s="4"/>
      <c r="K25" s="4"/>
      <c r="L25" s="4"/>
      <c r="M25" s="4"/>
      <c r="N25" s="4"/>
      <c r="O25" s="4"/>
      <c r="P25" s="4"/>
      <c r="Q25" s="4"/>
    </row>
    <row r="26" spans="1:17">
      <c r="A26" s="15" t="s">
        <v>523</v>
      </c>
      <c r="B26" s="4">
        <v>261689.98</v>
      </c>
      <c r="C26" s="4">
        <v>261689.98</v>
      </c>
      <c r="D26" s="4">
        <v>261689.98</v>
      </c>
      <c r="E26" s="4">
        <v>261689.98</v>
      </c>
      <c r="F26" s="4">
        <v>261689.98</v>
      </c>
      <c r="G26" s="4">
        <v>61689.98</v>
      </c>
      <c r="H26" s="4">
        <v>61689.98</v>
      </c>
      <c r="I26" s="4">
        <v>61689.98</v>
      </c>
      <c r="J26" s="4">
        <v>61689.98</v>
      </c>
      <c r="K26" s="4">
        <v>61689.98</v>
      </c>
      <c r="L26" s="4">
        <v>61689.98</v>
      </c>
      <c r="M26" s="4">
        <v>61689.98</v>
      </c>
      <c r="N26" s="4">
        <v>61689.98</v>
      </c>
      <c r="O26" s="4"/>
      <c r="P26" s="4">
        <v>261689.98</v>
      </c>
      <c r="Q26" s="4">
        <f>N26-P26</f>
        <v>-200000</v>
      </c>
    </row>
    <row r="27" spans="1:17">
      <c r="A27" s="15" t="s">
        <v>363</v>
      </c>
      <c r="B27" s="4">
        <v>57344.1</v>
      </c>
      <c r="C27" s="4">
        <v>57344.1</v>
      </c>
      <c r="D27" s="4">
        <v>57344.1</v>
      </c>
      <c r="E27" s="4">
        <v>57372.160000000003</v>
      </c>
      <c r="F27" s="4">
        <v>57372.160000000003</v>
      </c>
      <c r="G27" s="4">
        <v>58122.82</v>
      </c>
      <c r="H27" s="4">
        <v>58151.92</v>
      </c>
      <c r="I27" s="4">
        <v>58151.92</v>
      </c>
      <c r="J27" s="4">
        <v>58151.92</v>
      </c>
      <c r="K27" s="4">
        <v>58181.23</v>
      </c>
      <c r="L27" s="4">
        <v>58181.23</v>
      </c>
      <c r="M27" s="4">
        <v>58359.09</v>
      </c>
      <c r="N27" s="4">
        <v>58388.14</v>
      </c>
      <c r="O27" s="4"/>
      <c r="P27" s="4">
        <v>56398.33</v>
      </c>
      <c r="Q27" s="4">
        <f>N27-P27</f>
        <v>1989.8099999999977</v>
      </c>
    </row>
    <row r="28" spans="1:17">
      <c r="A28" s="15" t="s">
        <v>524</v>
      </c>
      <c r="B28" s="4">
        <v>49038.38</v>
      </c>
      <c r="C28" s="4">
        <v>-1927.89</v>
      </c>
      <c r="D28" s="4">
        <v>0</v>
      </c>
      <c r="E28" s="4">
        <v>0</v>
      </c>
      <c r="F28" s="4">
        <v>0</v>
      </c>
      <c r="G28" s="4">
        <v>0</v>
      </c>
      <c r="H28" s="4">
        <v>0</v>
      </c>
      <c r="I28" s="4">
        <v>0</v>
      </c>
      <c r="J28" s="4">
        <v>0</v>
      </c>
      <c r="K28" s="4">
        <v>0</v>
      </c>
      <c r="L28" s="4">
        <v>0</v>
      </c>
      <c r="M28" s="4">
        <v>0</v>
      </c>
      <c r="N28" s="4">
        <v>0</v>
      </c>
      <c r="O28" s="4"/>
      <c r="P28" s="4">
        <v>49038.38</v>
      </c>
      <c r="Q28" s="4">
        <f>N28-P28</f>
        <v>-49038.38</v>
      </c>
    </row>
    <row r="29" spans="1:17">
      <c r="A29" s="15" t="s">
        <v>525</v>
      </c>
      <c r="B29" s="4">
        <v>43758.73</v>
      </c>
      <c r="C29" s="4">
        <v>0</v>
      </c>
      <c r="D29" s="4">
        <v>0</v>
      </c>
      <c r="E29" s="4">
        <v>0</v>
      </c>
      <c r="F29" s="4">
        <v>0</v>
      </c>
      <c r="G29" s="4">
        <v>0</v>
      </c>
      <c r="H29" s="4">
        <v>0</v>
      </c>
      <c r="I29" s="4">
        <v>0</v>
      </c>
      <c r="J29" s="4">
        <v>0</v>
      </c>
      <c r="K29" s="4">
        <v>0</v>
      </c>
      <c r="L29" s="4">
        <v>0</v>
      </c>
      <c r="M29" s="4">
        <v>0</v>
      </c>
      <c r="N29" s="4">
        <v>0</v>
      </c>
      <c r="O29" s="4"/>
      <c r="P29" s="4">
        <v>43758.73</v>
      </c>
      <c r="Q29" s="4">
        <f>N29-P29</f>
        <v>-43758.73</v>
      </c>
    </row>
    <row r="30" spans="1:17">
      <c r="A30" s="15" t="s">
        <v>526</v>
      </c>
      <c r="B30" s="4">
        <v>74875.69</v>
      </c>
      <c r="C30" s="4">
        <v>74875.69</v>
      </c>
      <c r="D30" s="4">
        <v>74875.69</v>
      </c>
      <c r="E30" s="4">
        <v>74875.69</v>
      </c>
      <c r="F30" s="4">
        <v>0</v>
      </c>
      <c r="G30" s="4">
        <v>0</v>
      </c>
      <c r="H30" s="4">
        <v>0</v>
      </c>
      <c r="I30" s="4">
        <v>0</v>
      </c>
      <c r="J30" s="4">
        <v>0</v>
      </c>
      <c r="K30" s="4">
        <v>0</v>
      </c>
      <c r="L30" s="4">
        <v>0</v>
      </c>
      <c r="M30" s="4">
        <v>0</v>
      </c>
      <c r="N30" s="4">
        <v>0</v>
      </c>
      <c r="O30" s="4"/>
      <c r="P30" s="4">
        <v>72927.89</v>
      </c>
      <c r="Q30" s="4">
        <f>N30-P30</f>
        <v>-72927.89</v>
      </c>
    </row>
    <row r="31" spans="1:17">
      <c r="A31" s="15" t="s">
        <v>216</v>
      </c>
      <c r="B31" s="71">
        <f>SUM(B26:B30)</f>
        <v>486706.88</v>
      </c>
      <c r="C31" s="71">
        <f>SUM(C26:C30)</f>
        <v>391981.88</v>
      </c>
      <c r="D31" s="71">
        <f t="shared" ref="D31:N31" si="7">SUM(D26:D30)</f>
        <v>393909.77</v>
      </c>
      <c r="E31" s="71">
        <f t="shared" si="7"/>
        <v>393937.83</v>
      </c>
      <c r="F31" s="71">
        <f t="shared" si="7"/>
        <v>319062.14</v>
      </c>
      <c r="G31" s="71">
        <f t="shared" si="7"/>
        <v>119812.8</v>
      </c>
      <c r="H31" s="71">
        <f t="shared" si="7"/>
        <v>119841.9</v>
      </c>
      <c r="I31" s="71">
        <f t="shared" si="7"/>
        <v>119841.9</v>
      </c>
      <c r="J31" s="71">
        <f t="shared" si="7"/>
        <v>119841.9</v>
      </c>
      <c r="K31" s="71">
        <f t="shared" si="7"/>
        <v>119871.21</v>
      </c>
      <c r="L31" s="71">
        <f t="shared" si="7"/>
        <v>119871.21</v>
      </c>
      <c r="M31" s="71">
        <f t="shared" si="7"/>
        <v>120049.07</v>
      </c>
      <c r="N31" s="71">
        <f t="shared" si="7"/>
        <v>120078.12</v>
      </c>
      <c r="O31" s="4"/>
      <c r="P31" s="71">
        <f>SUM(P26:P30)</f>
        <v>483813.31</v>
      </c>
      <c r="Q31" s="71">
        <f>SUM(Q26:Q30)</f>
        <v>-363735.19</v>
      </c>
    </row>
    <row r="32" spans="1:17">
      <c r="A32" s="69"/>
    </row>
    <row r="33" spans="1:14">
      <c r="A33" s="40" t="s">
        <v>527</v>
      </c>
    </row>
    <row r="34" spans="1:14">
      <c r="A34" s="69" t="s">
        <v>266</v>
      </c>
      <c r="B34" s="4">
        <v>75</v>
      </c>
      <c r="C34" s="4">
        <v>75</v>
      </c>
      <c r="D34" s="4">
        <v>75</v>
      </c>
      <c r="E34" s="4">
        <v>75</v>
      </c>
      <c r="F34" s="4">
        <v>75</v>
      </c>
      <c r="G34" s="4">
        <v>75</v>
      </c>
      <c r="H34" s="4">
        <v>75</v>
      </c>
      <c r="I34" s="4">
        <v>75</v>
      </c>
      <c r="J34" s="4">
        <v>75</v>
      </c>
      <c r="K34" s="4">
        <v>75</v>
      </c>
      <c r="L34" s="4">
        <v>75</v>
      </c>
      <c r="M34" s="4">
        <v>75</v>
      </c>
      <c r="N34" s="4">
        <v>75</v>
      </c>
    </row>
    <row r="35" spans="1:14">
      <c r="A35" s="69" t="s">
        <v>267</v>
      </c>
      <c r="B35" s="4">
        <v>176.97</v>
      </c>
      <c r="C35" s="4">
        <v>176.97</v>
      </c>
      <c r="D35" s="4">
        <v>176.97</v>
      </c>
      <c r="E35" s="4">
        <v>176.97</v>
      </c>
      <c r="F35" s="4">
        <v>176.97</v>
      </c>
      <c r="G35" s="4">
        <v>176.97</v>
      </c>
      <c r="H35" s="4">
        <v>176.97</v>
      </c>
      <c r="I35" s="4">
        <v>176.97</v>
      </c>
      <c r="J35" s="4">
        <v>176.97</v>
      </c>
      <c r="K35" s="4">
        <v>176.97</v>
      </c>
      <c r="L35" s="4">
        <v>176.97</v>
      </c>
      <c r="M35" s="4">
        <v>176.97</v>
      </c>
      <c r="N35" s="4">
        <v>176.97</v>
      </c>
    </row>
    <row r="36" spans="1:14">
      <c r="A36" s="69" t="s">
        <v>257</v>
      </c>
      <c r="B36" s="4">
        <v>397.72</v>
      </c>
      <c r="C36" s="4">
        <v>397.72</v>
      </c>
      <c r="D36" s="4">
        <v>397.72</v>
      </c>
      <c r="E36" s="4">
        <v>397.72</v>
      </c>
      <c r="F36" s="4">
        <v>397.72</v>
      </c>
      <c r="G36" s="4">
        <v>397.72</v>
      </c>
      <c r="H36" s="4">
        <v>397.72</v>
      </c>
      <c r="I36" s="4">
        <v>397.72</v>
      </c>
      <c r="J36" s="4">
        <v>397.72</v>
      </c>
      <c r="K36" s="4">
        <v>397.72</v>
      </c>
      <c r="L36" s="4">
        <v>397.72</v>
      </c>
      <c r="M36" s="4">
        <v>397.72</v>
      </c>
      <c r="N36" s="4">
        <v>397.72</v>
      </c>
    </row>
    <row r="37" spans="1:14">
      <c r="A37" s="69" t="s">
        <v>528</v>
      </c>
      <c r="B37" s="4">
        <v>177.22</v>
      </c>
      <c r="C37" s="4">
        <v>177.22</v>
      </c>
      <c r="D37" s="4">
        <v>177.22</v>
      </c>
      <c r="E37" s="4">
        <v>177.22</v>
      </c>
      <c r="F37" s="4">
        <v>177.22</v>
      </c>
      <c r="G37" s="4">
        <v>177.22</v>
      </c>
      <c r="H37" s="4">
        <v>177.22</v>
      </c>
      <c r="I37" s="4">
        <v>177.22</v>
      </c>
      <c r="J37" s="4">
        <v>177.22</v>
      </c>
      <c r="K37" s="4">
        <v>177.22</v>
      </c>
      <c r="L37" s="4">
        <v>177.22</v>
      </c>
      <c r="M37" s="4">
        <v>177.22</v>
      </c>
      <c r="N37" s="4">
        <v>177.22</v>
      </c>
    </row>
    <row r="38" spans="1:14">
      <c r="A38" s="69" t="s">
        <v>259</v>
      </c>
      <c r="B38" s="4">
        <v>67.3</v>
      </c>
      <c r="C38" s="4">
        <v>67.3</v>
      </c>
      <c r="D38" s="4">
        <v>67.3</v>
      </c>
      <c r="E38" s="4">
        <v>67.3</v>
      </c>
      <c r="F38" s="4">
        <v>67.3</v>
      </c>
      <c r="G38" s="4">
        <v>67.3</v>
      </c>
      <c r="H38" s="4">
        <v>67.3</v>
      </c>
      <c r="I38" s="4">
        <v>67.3</v>
      </c>
      <c r="J38" s="4">
        <v>67.3</v>
      </c>
      <c r="K38" s="4">
        <v>67.3</v>
      </c>
      <c r="L38" s="4">
        <v>67.3</v>
      </c>
      <c r="M38" s="4">
        <v>67.3</v>
      </c>
      <c r="N38" s="4">
        <v>67.3</v>
      </c>
    </row>
    <row r="39" spans="1:14">
      <c r="A39" s="69" t="s">
        <v>216</v>
      </c>
      <c r="B39" s="71">
        <f>SUM(B34:B38)</f>
        <v>894.21</v>
      </c>
      <c r="C39" s="71">
        <f>SUM(C34:C38)</f>
        <v>894.21</v>
      </c>
      <c r="D39" s="71">
        <f t="shared" ref="D39:N39" si="8">SUM(D34:D38)</f>
        <v>894.21</v>
      </c>
      <c r="E39" s="71">
        <f t="shared" si="8"/>
        <v>894.21</v>
      </c>
      <c r="F39" s="71">
        <f t="shared" si="8"/>
        <v>894.21</v>
      </c>
      <c r="G39" s="71">
        <f t="shared" si="8"/>
        <v>894.21</v>
      </c>
      <c r="H39" s="71">
        <f t="shared" si="8"/>
        <v>894.21</v>
      </c>
      <c r="I39" s="71">
        <f t="shared" si="8"/>
        <v>894.21</v>
      </c>
      <c r="J39" s="71">
        <f t="shared" si="8"/>
        <v>894.21</v>
      </c>
      <c r="K39" s="71">
        <f t="shared" si="8"/>
        <v>894.21</v>
      </c>
      <c r="L39" s="71">
        <f t="shared" si="8"/>
        <v>894.21</v>
      </c>
      <c r="M39" s="71">
        <f t="shared" si="8"/>
        <v>894.21</v>
      </c>
      <c r="N39" s="71">
        <f t="shared" si="8"/>
        <v>894.21</v>
      </c>
    </row>
  </sheetData>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A63E9F-CD1F-4752-B287-9FDC78CF6826}"/>
</file>

<file path=customXml/itemProps2.xml><?xml version="1.0" encoding="utf-8"?>
<ds:datastoreItem xmlns:ds="http://schemas.openxmlformats.org/officeDocument/2006/customXml" ds:itemID="{1630BFC2-4D40-4926-8BE0-A4229182C7A3}"/>
</file>

<file path=customXml/itemProps3.xml><?xml version="1.0" encoding="utf-8"?>
<ds:datastoreItem xmlns:ds="http://schemas.openxmlformats.org/officeDocument/2006/customXml" ds:itemID="{FFE56BEE-3191-4859-B678-0DA6BBE3E4E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toria</dc:creator>
  <cp:keywords/>
  <dc:description/>
  <cp:lastModifiedBy>Alison Adams</cp:lastModifiedBy>
  <cp:revision/>
  <dcterms:created xsi:type="dcterms:W3CDTF">2013-01-28T21:16:49Z</dcterms:created>
  <dcterms:modified xsi:type="dcterms:W3CDTF">2026-09-04T11:59:14Z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y fmtid="{D5CDD505-2E9C-101B-9397-08002B2CF9AE}" pid="3" name="MediaServiceImageTags">
    <vt:lpwstr/>
  </property>
</Properties>
</file>