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OneDrive\CRAIGOWL 2025\2025 YEAR END\"/>
    </mc:Choice>
  </mc:AlternateContent>
  <xr:revisionPtr revIDLastSave="0" documentId="13_ncr:1_{F6C50EC8-1944-4080-8CA2-620AE9CC029B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age 8" sheetId="1" r:id="rId1"/>
    <sheet name="Page 9" sheetId="3" r:id="rId2"/>
    <sheet name="Page 10" sheetId="4" r:id="rId3"/>
    <sheet name="Page 11" sheetId="6" r:id="rId4"/>
    <sheet name="Page 12" sheetId="8" state="hidden" r:id="rId5"/>
    <sheet name="Sheet1" sheetId="7" state="hidden" r:id="rId6"/>
  </sheets>
  <externalReferences>
    <externalReference r:id="rId7"/>
  </externalReferences>
  <definedNames>
    <definedName name="_xlnm.Print_Area" localSheetId="2">'Page 10'!$A$1:$S$57</definedName>
    <definedName name="_xlnm.Print_Area" localSheetId="4">'Page 12'!$A$1:$G$24</definedName>
    <definedName name="_xlnm.Print_Area" localSheetId="0">'Page 8'!$A$1:$I$36</definedName>
    <definedName name="_xlnm.Print_Area" localSheetId="1">'Page 9'!$A$1:$K$58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6" i="6" l="1"/>
  <c r="I25" i="1"/>
  <c r="S11" i="4"/>
  <c r="D47" i="4" l="1"/>
  <c r="D39" i="4"/>
  <c r="D10" i="4"/>
  <c r="D9" i="4"/>
  <c r="I13" i="1"/>
  <c r="G20" i="3"/>
  <c r="E20" i="3"/>
  <c r="E16" i="1"/>
  <c r="C16" i="1"/>
  <c r="P48" i="4"/>
  <c r="G15" i="4" s="1"/>
  <c r="P33" i="4"/>
  <c r="P32" i="4"/>
  <c r="C15" i="1" s="1"/>
  <c r="P21" i="4"/>
  <c r="P22" i="4" s="1"/>
  <c r="D17" i="4" s="1"/>
  <c r="P28" i="4"/>
  <c r="E19" i="3"/>
  <c r="J19" i="3" s="1"/>
  <c r="J32" i="3"/>
  <c r="J29" i="3"/>
  <c r="J28" i="3"/>
  <c r="J27" i="3"/>
  <c r="J26" i="3"/>
  <c r="J24" i="3"/>
  <c r="J21" i="3"/>
  <c r="J18" i="3"/>
  <c r="J17" i="3"/>
  <c r="F22" i="8"/>
  <c r="I27" i="1"/>
  <c r="P34" i="4" l="1"/>
  <c r="J20" i="3"/>
  <c r="I18" i="1" l="1"/>
  <c r="D22" i="8"/>
  <c r="F10" i="8"/>
  <c r="D10" i="8"/>
  <c r="G22" i="3" l="1"/>
  <c r="J31" i="3"/>
  <c r="J25" i="3"/>
  <c r="G33" i="3"/>
  <c r="C33" i="3"/>
  <c r="E34" i="1" s="1"/>
  <c r="C22" i="3"/>
  <c r="C34" i="1" s="1"/>
  <c r="I21" i="1"/>
  <c r="I30" i="1" s="1"/>
  <c r="I36" i="1" s="1"/>
  <c r="G20" i="1"/>
  <c r="G19" i="1"/>
  <c r="G16" i="1"/>
  <c r="G34" i="1" l="1"/>
  <c r="S12" i="4"/>
  <c r="S14" i="4" s="1"/>
  <c r="D49" i="4" s="1"/>
  <c r="J30" i="3"/>
  <c r="G18" i="6"/>
  <c r="G33" i="6"/>
  <c r="I33" i="6"/>
  <c r="I44" i="6"/>
  <c r="G44" i="6"/>
  <c r="E22" i="3"/>
  <c r="E15" i="1"/>
  <c r="S23" i="4"/>
  <c r="S25" i="4" s="1"/>
  <c r="S17" i="4"/>
  <c r="E14" i="1" s="1"/>
  <c r="J55" i="4"/>
  <c r="P57" i="4"/>
  <c r="J15" i="4"/>
  <c r="P50" i="4"/>
  <c r="P44" i="4"/>
  <c r="G18" i="4" s="1"/>
  <c r="D14" i="4"/>
  <c r="P29" i="4"/>
  <c r="D16" i="4" s="1"/>
  <c r="P8" i="4"/>
  <c r="D18" i="4" s="1"/>
  <c r="J10" i="4"/>
  <c r="J47" i="4"/>
  <c r="J48" i="4"/>
  <c r="J46" i="4"/>
  <c r="J35" i="4"/>
  <c r="L50" i="4"/>
  <c r="L20" i="4"/>
  <c r="J13" i="4"/>
  <c r="G17" i="1"/>
  <c r="J45" i="4"/>
  <c r="J42" i="4"/>
  <c r="J41" i="4"/>
  <c r="J40" i="4"/>
  <c r="J34" i="4"/>
  <c r="J33" i="4"/>
  <c r="J28" i="4"/>
  <c r="J27" i="4"/>
  <c r="J9" i="4"/>
  <c r="J8" i="4"/>
  <c r="J7" i="4"/>
  <c r="J39" i="4"/>
  <c r="J12" i="4"/>
  <c r="J14" i="4" l="1"/>
  <c r="D20" i="4"/>
  <c r="G49" i="4"/>
  <c r="G50" i="4" s="1"/>
  <c r="E25" i="1" s="1"/>
  <c r="E27" i="1" s="1"/>
  <c r="G20" i="4"/>
  <c r="J17" i="4"/>
  <c r="E33" i="3"/>
  <c r="G14" i="1"/>
  <c r="S19" i="4"/>
  <c r="J16" i="4"/>
  <c r="D50" i="4"/>
  <c r="C35" i="3"/>
  <c r="G35" i="3"/>
  <c r="J49" i="4" l="1"/>
  <c r="J50" i="4" s="1"/>
  <c r="E18" i="1"/>
  <c r="E21" i="1" s="1"/>
  <c r="E30" i="1" s="1"/>
  <c r="E36" i="1" s="1"/>
  <c r="C25" i="1"/>
  <c r="C27" i="1" s="1"/>
  <c r="J18" i="4"/>
  <c r="J20" i="4" s="1"/>
  <c r="J33" i="3"/>
  <c r="E35" i="3"/>
  <c r="J22" i="3"/>
  <c r="G15" i="1"/>
  <c r="C18" i="1" l="1"/>
  <c r="C21" i="1" s="1"/>
  <c r="C30" i="1" s="1"/>
  <c r="C36" i="1" s="1"/>
  <c r="G25" i="1"/>
  <c r="G27" i="1" s="1"/>
  <c r="J35" i="3"/>
  <c r="G13" i="1" l="1"/>
  <c r="G18" i="1" s="1"/>
  <c r="G21" i="1" s="1"/>
  <c r="G30" i="1" s="1"/>
  <c r="G36" i="1" s="1"/>
</calcChain>
</file>

<file path=xl/sharedStrings.xml><?xml version="1.0" encoding="utf-8"?>
<sst xmlns="http://schemas.openxmlformats.org/spreadsheetml/2006/main" count="230" uniqueCount="175">
  <si>
    <t>Unrestricted</t>
  </si>
  <si>
    <t>Restricted</t>
  </si>
  <si>
    <t>Funds</t>
  </si>
  <si>
    <t>Total</t>
  </si>
  <si>
    <t>£</t>
  </si>
  <si>
    <t>Receipts</t>
  </si>
  <si>
    <t>Note</t>
  </si>
  <si>
    <r>
      <t xml:space="preserve">     </t>
    </r>
    <r>
      <rPr>
        <b/>
        <sz val="10"/>
        <rFont val="Arial"/>
        <family val="2"/>
      </rPr>
      <t>Donations</t>
    </r>
  </si>
  <si>
    <t xml:space="preserve">     Grants</t>
  </si>
  <si>
    <t xml:space="preserve">     Legacies</t>
  </si>
  <si>
    <t>Total Receipts</t>
  </si>
  <si>
    <t>Payments</t>
  </si>
  <si>
    <t xml:space="preserve">     Charitable activities</t>
  </si>
  <si>
    <t>Notes to the Accounts</t>
  </si>
  <si>
    <t>Trustee Remuneration and Related Party Transactions</t>
  </si>
  <si>
    <t>Movement in Funds</t>
  </si>
  <si>
    <t>At 1 Jan</t>
  </si>
  <si>
    <t>At 31 Dec</t>
  </si>
  <si>
    <t>Unrestricted funds</t>
  </si>
  <si>
    <t>Fabric Fund (Designated)</t>
  </si>
  <si>
    <t>Living Rooms (Designated)</t>
  </si>
  <si>
    <t>Bequest Fund (Designated)</t>
  </si>
  <si>
    <t>Restricted funds</t>
  </si>
  <si>
    <t>Benevolent Fund</t>
  </si>
  <si>
    <t xml:space="preserve">Community Larder </t>
  </si>
  <si>
    <t>Kayole Fund</t>
  </si>
  <si>
    <t>Welcome Group</t>
  </si>
  <si>
    <t>British Sign Language Group (BSL)</t>
  </si>
  <si>
    <t>Total funds</t>
  </si>
  <si>
    <t>Purposes of Designated Funds</t>
  </si>
  <si>
    <r>
      <t>Fabric Fund:</t>
    </r>
    <r>
      <rPr>
        <sz val="10"/>
        <rFont val="Arial"/>
        <family val="2"/>
      </rPr>
      <t xml:space="preserve"> The Trustees have set aside funds for the maintenance of the Church property.</t>
    </r>
  </si>
  <si>
    <r>
      <t xml:space="preserve">Living Rooms Fund: </t>
    </r>
    <r>
      <rPr>
        <sz val="10"/>
        <rFont val="Arial"/>
        <family val="2"/>
      </rPr>
      <t>The Trustees have set aside funds for the conversion and maintenace of the old manse,</t>
    </r>
  </si>
  <si>
    <t>now the Living Rooms.</t>
  </si>
  <si>
    <t>Purposes of Restricted Funds</t>
  </si>
  <si>
    <r>
      <t>Benevolent Fund:</t>
    </r>
    <r>
      <rPr>
        <sz val="10"/>
        <rFont val="Arial"/>
        <family val="2"/>
      </rPr>
      <t xml:space="preserve"> This is a fund to provide assistance to people in need and donations are given</t>
    </r>
  </si>
  <si>
    <t>specifically for this purpose.</t>
  </si>
  <si>
    <r>
      <t xml:space="preserve">Community Larder: </t>
    </r>
    <r>
      <rPr>
        <sz val="10"/>
        <rFont val="Arial"/>
        <family val="2"/>
      </rPr>
      <t>This fund was set up as a community collaborative venture to provide weekly food</t>
    </r>
  </si>
  <si>
    <r>
      <t>Kayole Fund:</t>
    </r>
    <r>
      <rPr>
        <sz val="10"/>
        <rFont val="Arial"/>
        <family val="2"/>
      </rPr>
      <t xml:space="preserve"> This money is for the development of a twinning arrangement with Kayole Parish</t>
    </r>
  </si>
  <si>
    <t>Church, Nairobi, Kenya.</t>
  </si>
  <si>
    <t>the community find friendship and enjoy speakers and activities.</t>
  </si>
  <si>
    <t>and people from the community.</t>
  </si>
  <si>
    <t>Analysis of Donations</t>
  </si>
  <si>
    <t xml:space="preserve">   FWO Scheme (non Gift Aid)</t>
  </si>
  <si>
    <t xml:space="preserve">   Gift Aid Donations</t>
  </si>
  <si>
    <t xml:space="preserve">   Tax Recovered on Gift Aid</t>
  </si>
  <si>
    <t xml:space="preserve">   Ordinary Offerings (Open Plate)</t>
  </si>
  <si>
    <t xml:space="preserve">   Fabric Fund</t>
  </si>
  <si>
    <t xml:space="preserve">   Living Rooms </t>
  </si>
  <si>
    <t xml:space="preserve">   Bequest Fund </t>
  </si>
  <si>
    <t xml:space="preserve">   Community Larder</t>
  </si>
  <si>
    <t xml:space="preserve">   Hall Lets</t>
  </si>
  <si>
    <t>Analysis of Payments</t>
  </si>
  <si>
    <t>Ministries and Mission:-</t>
  </si>
  <si>
    <t xml:space="preserve">   Ministries &amp; Mission contribution</t>
  </si>
  <si>
    <t xml:space="preserve">   Presbytery Dues</t>
  </si>
  <si>
    <t>Staffing costs</t>
  </si>
  <si>
    <t xml:space="preserve">   Minister's Expenses</t>
  </si>
  <si>
    <t xml:space="preserve">   Cleaners</t>
  </si>
  <si>
    <t xml:space="preserve">   Pulpit Supply</t>
  </si>
  <si>
    <t xml:space="preserve">   Building costs:-</t>
  </si>
  <si>
    <t xml:space="preserve">   Fabric Repairs &amp; Maintenance   </t>
  </si>
  <si>
    <t xml:space="preserve">   Heat &amp; Light</t>
  </si>
  <si>
    <t xml:space="preserve">   Insurance</t>
  </si>
  <si>
    <t xml:space="preserve">   Other costs:-</t>
  </si>
  <si>
    <t xml:space="preserve">   Printing, stationery and postage</t>
  </si>
  <si>
    <t xml:space="preserve">   Living Rooms</t>
  </si>
  <si>
    <t xml:space="preserve">   Miscellaneous Expenses</t>
  </si>
  <si>
    <t>Governance costs</t>
  </si>
  <si>
    <t xml:space="preserve">   Independent Examiner's fees</t>
  </si>
  <si>
    <t>Minister's Stipend</t>
  </si>
  <si>
    <t>All Church of Scotland congregations contribute to the National Stipend Fund which bears the costs</t>
  </si>
  <si>
    <t xml:space="preserve">of all Ministers' stipends and employer's contributions for national insurance, pension and housing, </t>
  </si>
  <si>
    <t>and loan fund.  Ministers' stipends are paid in accordance with the national stipend scale, which is</t>
  </si>
  <si>
    <t>Collections for Third Parties</t>
  </si>
  <si>
    <t>Tear Fund</t>
  </si>
  <si>
    <t>Craigowl Church of Scotland, Dundee</t>
  </si>
  <si>
    <t>Bowling Club</t>
  </si>
  <si>
    <t>Workings</t>
  </si>
  <si>
    <t>(1)</t>
  </si>
  <si>
    <t>Bible notes</t>
  </si>
  <si>
    <t>Tea monies</t>
  </si>
  <si>
    <t xml:space="preserve">   Donations</t>
  </si>
  <si>
    <t xml:space="preserve">   Other Income</t>
  </si>
  <si>
    <t>(2)</t>
  </si>
  <si>
    <t>Friendship Group</t>
  </si>
  <si>
    <t>Under 5's</t>
  </si>
  <si>
    <t>(3)</t>
  </si>
  <si>
    <t>Living Rooms</t>
  </si>
  <si>
    <t>(4)</t>
  </si>
  <si>
    <t>Legacies</t>
  </si>
  <si>
    <t>Balance</t>
  </si>
  <si>
    <t>(5)</t>
  </si>
  <si>
    <t>BSL</t>
  </si>
  <si>
    <t>(6)</t>
  </si>
  <si>
    <t>(7)</t>
  </si>
  <si>
    <t>(8)</t>
  </si>
  <si>
    <t>Cleaning Materials</t>
  </si>
  <si>
    <t>BT Broadband</t>
  </si>
  <si>
    <t>DCC Wastemanagement</t>
  </si>
  <si>
    <t>Miscellaneous</t>
  </si>
  <si>
    <t>CCLI</t>
  </si>
  <si>
    <t>Less Examiner</t>
  </si>
  <si>
    <t>Summary of Grants</t>
  </si>
  <si>
    <t>Summary of Legacies</t>
  </si>
  <si>
    <t>Practical Action</t>
  </si>
  <si>
    <t>Growth Fund</t>
  </si>
  <si>
    <t>Lewis Christie Bequest</t>
  </si>
  <si>
    <t>No.of Units</t>
  </si>
  <si>
    <t>Cost of Units</t>
  </si>
  <si>
    <t>Market Value</t>
  </si>
  <si>
    <t>Income Fund</t>
  </si>
  <si>
    <t>Deposit Fund</t>
  </si>
  <si>
    <t>Investments ( Church of Scotland Investors Trust)</t>
  </si>
  <si>
    <t>Consolidated Loan Fund</t>
  </si>
  <si>
    <t>General Congregational Purposes</t>
  </si>
  <si>
    <t>Amount</t>
  </si>
  <si>
    <t>Deposited</t>
  </si>
  <si>
    <t>Adjustment</t>
  </si>
  <si>
    <r>
      <t xml:space="preserve">Others: </t>
    </r>
    <r>
      <rPr>
        <sz val="10"/>
        <rFont val="Arial"/>
        <family val="2"/>
      </rPr>
      <t>The following groups have funds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>which are used to support fellowship and church</t>
    </r>
    <r>
      <rPr>
        <b/>
        <sz val="10"/>
        <rFont val="Arial"/>
        <family val="2"/>
      </rPr>
      <t xml:space="preserve"> r</t>
    </r>
    <r>
      <rPr>
        <sz val="10"/>
        <rFont val="Arial"/>
        <family val="2"/>
      </rPr>
      <t>elated activities</t>
    </r>
    <r>
      <rPr>
        <b/>
        <sz val="10"/>
        <rFont val="Arial"/>
        <family val="2"/>
      </rPr>
      <t>:</t>
    </r>
  </si>
  <si>
    <t xml:space="preserve">     Investment Income</t>
  </si>
  <si>
    <t>Transfer of union balance</t>
  </si>
  <si>
    <t>Transfer of investments</t>
  </si>
  <si>
    <t>Investments at Market Value</t>
  </si>
  <si>
    <t>Staff costs and numbers</t>
  </si>
  <si>
    <t>Salaries and wages</t>
  </si>
  <si>
    <t>Social security costs</t>
  </si>
  <si>
    <t>Investments</t>
  </si>
  <si>
    <t>Market value of Investments transferred on 1 July 2024</t>
  </si>
  <si>
    <t>Unrealised gain on investments</t>
  </si>
  <si>
    <t>Statement of Financial Activities</t>
  </si>
  <si>
    <t xml:space="preserve">     Bank &amp; Deposit Interest</t>
  </si>
  <si>
    <t>Income</t>
  </si>
  <si>
    <t>Expenditure</t>
  </si>
  <si>
    <t>Total Expenditure</t>
  </si>
  <si>
    <t>Reconciliation of Funds</t>
  </si>
  <si>
    <t xml:space="preserve"> Total funds brought forward</t>
  </si>
  <si>
    <t xml:space="preserve"> Total funds carried forward</t>
  </si>
  <si>
    <t>no payments were made to any related parties</t>
  </si>
  <si>
    <t>maintenance of the premises.</t>
  </si>
  <si>
    <t xml:space="preserve">During the year no trustee received  any remuneration or reimbursement of expenses and </t>
  </si>
  <si>
    <t xml:space="preserve"> </t>
  </si>
  <si>
    <t>Year ended 31 December 2025</t>
  </si>
  <si>
    <t>( restated)</t>
  </si>
  <si>
    <t>Unit Price at 31/12/2025: £6.38</t>
  </si>
  <si>
    <t>Market value at 31 December 2025</t>
  </si>
  <si>
    <t>General  &amp; Reserve Fund</t>
  </si>
  <si>
    <t>Food Larder</t>
  </si>
  <si>
    <t>Jim Powrie Memorial</t>
  </si>
  <si>
    <t>Mr Duncan</t>
  </si>
  <si>
    <t>Bank Compensation</t>
  </si>
  <si>
    <t>Anon</t>
  </si>
  <si>
    <t>Misc</t>
  </si>
  <si>
    <t>Combined Bequest fund</t>
  </si>
  <si>
    <t xml:space="preserve">   Combined Bequest - Youth Work</t>
  </si>
  <si>
    <t>Water Aid</t>
  </si>
  <si>
    <t>Copper Pot</t>
  </si>
  <si>
    <t>Cross reach</t>
  </si>
  <si>
    <t>Unit Price at 31/12/2025</t>
  </si>
  <si>
    <t>Opening Market value</t>
  </si>
  <si>
    <t>One person related to three of the trustees was employed during the year to assist  with the</t>
  </si>
  <si>
    <t>Oneother person related to three of the trustees was paid a total of £1,386 for joinery work</t>
  </si>
  <si>
    <t>carried out on church premises during the year.</t>
  </si>
  <si>
    <t>with YMCA Tayside for the provision of a Youth Worker was completed.</t>
  </si>
  <si>
    <r>
      <rPr>
        <b/>
        <sz val="10"/>
        <rFont val="Arial"/>
        <family val="2"/>
      </rPr>
      <t>British Sign Language Group (BSL)</t>
    </r>
    <r>
      <rPr>
        <sz val="10"/>
        <rFont val="Arial"/>
        <family val="2"/>
      </rPr>
      <t xml:space="preserve"> This group meets to learn BSL and is attended by church members</t>
    </r>
  </si>
  <si>
    <t>Toddlers Group</t>
  </si>
  <si>
    <t>Toddlers Group, Friendship Group, and the Bowling Club.</t>
  </si>
  <si>
    <r>
      <t xml:space="preserve">Bequest Fund: </t>
    </r>
    <r>
      <rPr>
        <sz val="10"/>
        <rFont val="Arial"/>
        <family val="2"/>
      </rPr>
      <t>This fund comprises the balance from a number of bequests.  During the year</t>
    </r>
    <r>
      <rPr>
        <b/>
        <sz val="10"/>
        <rFont val="Arial"/>
        <family val="2"/>
      </rPr>
      <t xml:space="preserve"> the contract</t>
    </r>
  </si>
  <si>
    <t>provision for the local community with the help of grants received from various benefactors.</t>
  </si>
  <si>
    <t>Welcome Group: This group meets weekly and is a place where church members and people from</t>
  </si>
  <si>
    <t xml:space="preserve">   Council Tax</t>
  </si>
  <si>
    <t>Net Deficit/ Income</t>
  </si>
  <si>
    <t>Restated)</t>
  </si>
  <si>
    <t>(Restated)</t>
  </si>
  <si>
    <t>related to years of service.  For 2025 the Minimum Stipend was £32,433, and the Maximum Stipend</t>
  </si>
  <si>
    <t>(in the fifth and subsequent years of service) £39,856.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</si>
</sst>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8" formatCode="&quot;£&quot;#,##0.00;[Red]\-&quot;£&quot;#,##0.00"/>
    <numFmt numFmtId="43" formatCode="_-* #,##0.00_-;\-* #,##0.00_-;_-* &quot;-&quot;??_-;_-@_-"/>
    <numFmt numFmtId="164" formatCode="&quot;£&quot;#,##0"/>
    <numFmt numFmtId="165" formatCode="&quot;£&quot;#,##0.00"/>
    <numFmt numFmtId="166" formatCode="#,##0_ ;\-#,##0\ "/>
  </numFmts>
  <fonts count="13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sz val="12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color rgb="FFFF0000"/>
      <name val="Arial"/>
      <family val="2"/>
    </font>
    <font>
      <sz val="10"/>
      <color rgb="FFFF0000"/>
      <name val="Arial"/>
      <family val="2"/>
    </font>
    <font>
      <b/>
      <i/>
      <sz val="10"/>
      <color rgb="FFFF0000"/>
      <name val="Arial"/>
      <family val="2"/>
    </font>
    <font>
      <u/>
      <sz val="10"/>
      <name val="Arial"/>
      <family val="2"/>
    </font>
    <font>
      <sz val="10"/>
      <color rgb="FFEE0000"/>
      <name val="Arial"/>
      <family val="2"/>
    </font>
    <font>
      <b/>
      <sz val="12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7">
    <xf numFmtId="0" fontId="0" fillId="0" borderId="0" xfId="0"/>
    <xf numFmtId="3" fontId="0" fillId="0" borderId="0" xfId="0" applyNumberFormat="1"/>
    <xf numFmtId="0" fontId="3" fillId="0" borderId="0" xfId="0" applyFont="1"/>
    <xf numFmtId="0" fontId="5" fillId="0" borderId="0" xfId="0" applyFont="1"/>
    <xf numFmtId="0" fontId="1" fillId="0" borderId="0" xfId="0" applyFont="1" applyAlignment="1">
      <alignment horizontal="center"/>
    </xf>
    <xf numFmtId="0" fontId="7" fillId="0" borderId="0" xfId="0" applyFont="1"/>
    <xf numFmtId="0" fontId="2" fillId="0" borderId="0" xfId="0" applyFont="1" applyAlignment="1">
      <alignment horizontal="center"/>
    </xf>
    <xf numFmtId="0" fontId="2" fillId="0" borderId="0" xfId="0" applyFont="1"/>
    <xf numFmtId="3" fontId="5" fillId="0" borderId="0" xfId="0" applyNumberFormat="1" applyFont="1"/>
    <xf numFmtId="0" fontId="8" fillId="0" borderId="0" xfId="0" applyFont="1"/>
    <xf numFmtId="0" fontId="1" fillId="0" borderId="0" xfId="0" applyFont="1"/>
    <xf numFmtId="3" fontId="1" fillId="0" borderId="0" xfId="0" applyNumberFormat="1" applyFont="1"/>
    <xf numFmtId="0" fontId="10" fillId="0" borderId="0" xfId="0" applyFont="1"/>
    <xf numFmtId="3" fontId="0" fillId="0" borderId="1" xfId="0" applyNumberFormat="1" applyBorder="1"/>
    <xf numFmtId="43" fontId="5" fillId="0" borderId="0" xfId="1" applyFont="1" applyFill="1" applyAlignment="1">
      <alignment horizontal="left"/>
    </xf>
    <xf numFmtId="43" fontId="5" fillId="0" borderId="0" xfId="1" applyFont="1" applyFill="1"/>
    <xf numFmtId="164" fontId="1" fillId="0" borderId="0" xfId="0" applyNumberFormat="1" applyFont="1"/>
    <xf numFmtId="164" fontId="1" fillId="0" borderId="3" xfId="0" applyNumberFormat="1" applyFont="1" applyBorder="1"/>
    <xf numFmtId="0" fontId="0" fillId="0" borderId="0" xfId="0" applyAlignment="1">
      <alignment horizontal="right"/>
    </xf>
    <xf numFmtId="3" fontId="2" fillId="0" borderId="0" xfId="0" applyNumberFormat="1" applyFont="1"/>
    <xf numFmtId="0" fontId="11" fillId="0" borderId="0" xfId="0" applyFont="1"/>
    <xf numFmtId="3" fontId="11" fillId="0" borderId="0" xfId="0" applyNumberFormat="1" applyFont="1"/>
    <xf numFmtId="165" fontId="1" fillId="0" borderId="0" xfId="0" applyNumberFormat="1" applyFont="1"/>
    <xf numFmtId="8" fontId="1" fillId="0" borderId="0" xfId="0" applyNumberFormat="1" applyFont="1"/>
    <xf numFmtId="3" fontId="5" fillId="0" borderId="2" xfId="0" applyNumberFormat="1" applyFont="1" applyBorder="1" applyAlignment="1">
      <alignment horizontal="right"/>
    </xf>
    <xf numFmtId="3" fontId="8" fillId="0" borderId="0" xfId="0" applyNumberFormat="1" applyFont="1"/>
    <xf numFmtId="3" fontId="7" fillId="0" borderId="2" xfId="0" applyNumberFormat="1" applyFont="1" applyBorder="1"/>
    <xf numFmtId="0" fontId="4" fillId="0" borderId="0" xfId="0" applyFont="1"/>
    <xf numFmtId="0" fontId="0" fillId="0" borderId="0" xfId="0" applyAlignment="1">
      <alignment horizontal="center"/>
    </xf>
    <xf numFmtId="166" fontId="0" fillId="0" borderId="0" xfId="1" applyNumberFormat="1" applyFont="1" applyFill="1"/>
    <xf numFmtId="0" fontId="12" fillId="0" borderId="0" xfId="0" applyFont="1"/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3" fontId="1" fillId="0" borderId="0" xfId="0" quotePrefix="1" applyNumberFormat="1" applyFont="1"/>
    <xf numFmtId="166" fontId="5" fillId="0" borderId="0" xfId="1" applyNumberFormat="1" applyFont="1" applyFill="1"/>
    <xf numFmtId="3" fontId="0" fillId="0" borderId="2" xfId="0" applyNumberFormat="1" applyBorder="1"/>
    <xf numFmtId="3" fontId="0" fillId="0" borderId="4" xfId="0" applyNumberFormat="1" applyBorder="1"/>
    <xf numFmtId="3" fontId="0" fillId="0" borderId="5" xfId="0" applyNumberFormat="1" applyBorder="1"/>
    <xf numFmtId="166" fontId="8" fillId="0" borderId="0" xfId="1" applyNumberFormat="1" applyFont="1" applyFill="1"/>
    <xf numFmtId="3" fontId="7" fillId="0" borderId="0" xfId="0" applyNumberFormat="1" applyFont="1"/>
    <xf numFmtId="0" fontId="8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3" fontId="1" fillId="0" borderId="5" xfId="0" applyNumberFormat="1" applyFont="1" applyBorder="1"/>
    <xf numFmtId="166" fontId="1" fillId="0" borderId="0" xfId="1" applyNumberFormat="1" applyFont="1" applyFill="1"/>
    <xf numFmtId="3" fontId="0" fillId="0" borderId="5" xfId="0" quotePrefix="1" applyNumberFormat="1" applyBorder="1" applyAlignment="1">
      <alignment horizontal="right"/>
    </xf>
    <xf numFmtId="3" fontId="1" fillId="0" borderId="1" xfId="0" applyNumberFormat="1" applyFont="1" applyBorder="1"/>
    <xf numFmtId="166" fontId="7" fillId="0" borderId="0" xfId="1" applyNumberFormat="1" applyFont="1" applyFill="1"/>
    <xf numFmtId="43" fontId="1" fillId="0" borderId="0" xfId="1" applyFont="1" applyFill="1" applyAlignment="1">
      <alignment horizontal="left"/>
    </xf>
    <xf numFmtId="4" fontId="1" fillId="0" borderId="0" xfId="0" applyNumberFormat="1" applyFont="1"/>
    <xf numFmtId="4" fontId="0" fillId="0" borderId="0" xfId="0" applyNumberFormat="1"/>
    <xf numFmtId="4" fontId="1" fillId="0" borderId="0" xfId="0" quotePrefix="1" applyNumberFormat="1" applyFont="1"/>
    <xf numFmtId="0" fontId="1" fillId="0" borderId="0" xfId="0" quotePrefix="1" applyFont="1"/>
    <xf numFmtId="4" fontId="2" fillId="0" borderId="0" xfId="0" applyNumberFormat="1" applyFont="1"/>
    <xf numFmtId="3" fontId="5" fillId="0" borderId="0" xfId="0" applyNumberFormat="1" applyFont="1" applyAlignment="1">
      <alignment horizontal="right"/>
    </xf>
    <xf numFmtId="4" fontId="8" fillId="0" borderId="0" xfId="0" applyNumberFormat="1" applyFont="1"/>
    <xf numFmtId="2" fontId="0" fillId="0" borderId="0" xfId="0" applyNumberFormat="1"/>
    <xf numFmtId="3" fontId="5" fillId="0" borderId="1" xfId="0" applyNumberFormat="1" applyFont="1" applyBorder="1"/>
    <xf numFmtId="3" fontId="5" fillId="0" borderId="0" xfId="0" quotePrefix="1" applyNumberFormat="1" applyFont="1"/>
    <xf numFmtId="0" fontId="0" fillId="0" borderId="0" xfId="0" quotePrefix="1"/>
    <xf numFmtId="3" fontId="0" fillId="0" borderId="2" xfId="0" applyNumberFormat="1" applyBorder="1" applyAlignment="1">
      <alignment horizontal="right"/>
    </xf>
    <xf numFmtId="3" fontId="0" fillId="0" borderId="0" xfId="0" applyNumberFormat="1" applyAlignment="1">
      <alignment horizontal="right"/>
    </xf>
    <xf numFmtId="3" fontId="5" fillId="0" borderId="2" xfId="0" applyNumberFormat="1" applyFont="1" applyBorder="1"/>
    <xf numFmtId="0" fontId="5" fillId="0" borderId="2" xfId="0" applyFont="1" applyBorder="1" applyAlignment="1">
      <alignment horizontal="right"/>
    </xf>
    <xf numFmtId="4" fontId="9" fillId="0" borderId="0" xfId="0" applyNumberFormat="1" applyFont="1"/>
    <xf numFmtId="0" fontId="9" fillId="0" borderId="0" xfId="0" applyFont="1"/>
    <xf numFmtId="0" fontId="2" fillId="0" borderId="0" xfId="0" quotePrefix="1" applyFont="1" applyAlignment="1">
      <alignment horizontal="center"/>
    </xf>
    <xf numFmtId="3" fontId="1" fillId="0" borderId="3" xfId="0" applyNumberFormat="1" applyFont="1" applyBorder="1"/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User\OneDrive\CRAIGOWL%202025\2025%20YEAR%20END\Craigowl%20Funds%202025.xls" TargetMode="External"/><Relationship Id="rId1" Type="http://schemas.openxmlformats.org/officeDocument/2006/relationships/externalLinkPath" Target="Craigowl%20Funds%20202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ummary"/>
      <sheetName val="Fabric Fund"/>
      <sheetName val="The Living Rooms"/>
      <sheetName val="Combined Bequest Fund"/>
      <sheetName val="Bequest Fund  Youth Work"/>
      <sheetName val="General Fund"/>
      <sheetName val="Unrestricted Investments"/>
      <sheetName val="Benevolent Fund"/>
      <sheetName val="Community Food Larder"/>
      <sheetName val="Kayole Fund"/>
      <sheetName val="Combined Bequest Analysis 20-22"/>
      <sheetName val="Welcome Group"/>
      <sheetName val="Welcome Group  - Weekly cash"/>
      <sheetName val="BSL"/>
      <sheetName val="Under 5's &amp; Little Chalmers"/>
      <sheetName val="Friendship Group"/>
      <sheetName val="Bowling Club"/>
      <sheetName val="Restricted Investments"/>
      <sheetName val="Toddlers Group"/>
      <sheetName val="Union Balance"/>
      <sheetName val="Youth Club"/>
    </sheetNames>
    <sheetDataSet>
      <sheetData sheetId="0"/>
      <sheetData sheetId="1"/>
      <sheetData sheetId="2"/>
      <sheetData sheetId="3">
        <row r="57">
          <cell r="D57">
            <v>2344.89</v>
          </cell>
        </row>
        <row r="58">
          <cell r="D58">
            <v>104.54</v>
          </cell>
        </row>
      </sheetData>
      <sheetData sheetId="4"/>
      <sheetData sheetId="5"/>
      <sheetData sheetId="6">
        <row r="18">
          <cell r="D18">
            <v>4752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18">
          <cell r="D18">
            <v>386</v>
          </cell>
        </row>
      </sheetData>
      <sheetData sheetId="18"/>
      <sheetData sheetId="19"/>
      <sheetData sheetId="20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39"/>
  <sheetViews>
    <sheetView tabSelected="1" zoomScaleNormal="100" workbookViewId="0">
      <selection activeCell="J16" sqref="J16"/>
    </sheetView>
  </sheetViews>
  <sheetFormatPr defaultColWidth="8.81640625" defaultRowHeight="12.5" x14ac:dyDescent="0.25"/>
  <cols>
    <col min="1" max="1" width="29.54296875" customWidth="1"/>
    <col min="2" max="2" width="5.54296875" customWidth="1"/>
    <col min="3" max="3" width="11.54296875" customWidth="1"/>
    <col min="4" max="4" width="3.453125" customWidth="1"/>
    <col min="5" max="5" width="11.54296875" customWidth="1"/>
    <col min="6" max="6" width="3.453125" customWidth="1"/>
    <col min="7" max="7" width="10.54296875" customWidth="1"/>
    <col min="8" max="8" width="3.453125" customWidth="1"/>
    <col min="9" max="9" width="10.54296875" customWidth="1"/>
    <col min="11" max="11" width="11.26953125" style="29" bestFit="1" customWidth="1"/>
  </cols>
  <sheetData>
    <row r="1" spans="1:11" ht="15.5" x14ac:dyDescent="0.35">
      <c r="A1" s="2" t="s">
        <v>75</v>
      </c>
      <c r="B1" s="3"/>
      <c r="C1" s="4"/>
      <c r="D1" s="27"/>
      <c r="E1" s="28"/>
      <c r="G1" s="3"/>
    </row>
    <row r="2" spans="1:11" ht="15.5" x14ac:dyDescent="0.35">
      <c r="A2" s="10"/>
      <c r="B2" s="3"/>
      <c r="D2" s="30"/>
      <c r="E2" s="5"/>
      <c r="G2" s="5"/>
      <c r="H2" s="5"/>
      <c r="I2" s="5"/>
    </row>
    <row r="3" spans="1:11" ht="15.5" x14ac:dyDescent="0.35">
      <c r="A3" s="10" t="s">
        <v>129</v>
      </c>
      <c r="B3" s="3"/>
      <c r="C3" s="5"/>
      <c r="D3" s="27"/>
    </row>
    <row r="4" spans="1:11" ht="15.5" x14ac:dyDescent="0.35">
      <c r="A4" s="2" t="s">
        <v>141</v>
      </c>
      <c r="B4" s="3"/>
      <c r="C4" s="3"/>
      <c r="D4" s="27"/>
    </row>
    <row r="5" spans="1:11" ht="15.5" x14ac:dyDescent="0.35">
      <c r="A5" s="3"/>
      <c r="B5" s="3"/>
      <c r="C5" s="3"/>
      <c r="D5" s="27"/>
    </row>
    <row r="6" spans="1:11" ht="15.5" x14ac:dyDescent="0.35">
      <c r="A6" s="3"/>
      <c r="B6" s="3"/>
      <c r="C6" s="6" t="s">
        <v>0</v>
      </c>
      <c r="D6" s="27"/>
      <c r="E6" s="6" t="s">
        <v>1</v>
      </c>
      <c r="G6" s="6"/>
      <c r="I6" s="6"/>
    </row>
    <row r="7" spans="1:11" ht="15.5" x14ac:dyDescent="0.35">
      <c r="A7" s="3"/>
      <c r="B7" s="3"/>
      <c r="C7" s="6" t="s">
        <v>2</v>
      </c>
      <c r="D7" s="27"/>
      <c r="E7" s="6" t="s">
        <v>2</v>
      </c>
      <c r="G7" s="6" t="s">
        <v>3</v>
      </c>
      <c r="I7" s="6" t="s">
        <v>3</v>
      </c>
    </row>
    <row r="8" spans="1:11" ht="15.5" x14ac:dyDescent="0.35">
      <c r="A8" s="3"/>
      <c r="B8" s="3"/>
      <c r="C8" s="6">
        <v>2025</v>
      </c>
      <c r="D8" s="27"/>
      <c r="E8" s="6">
        <v>2025</v>
      </c>
      <c r="G8" s="6">
        <v>2025</v>
      </c>
      <c r="I8" s="6">
        <v>2024</v>
      </c>
    </row>
    <row r="9" spans="1:11" ht="15.5" x14ac:dyDescent="0.35">
      <c r="A9" s="3"/>
      <c r="B9" s="3"/>
      <c r="C9" s="6"/>
      <c r="D9" s="27"/>
      <c r="E9" s="6"/>
      <c r="G9" s="6"/>
      <c r="I9" s="6" t="s">
        <v>172</v>
      </c>
    </row>
    <row r="10" spans="1:11" ht="13" x14ac:dyDescent="0.3">
      <c r="C10" s="6" t="s">
        <v>4</v>
      </c>
      <c r="E10" s="6" t="s">
        <v>4</v>
      </c>
      <c r="G10" s="6" t="s">
        <v>4</v>
      </c>
      <c r="I10" s="28" t="s">
        <v>4</v>
      </c>
    </row>
    <row r="12" spans="1:11" ht="13" x14ac:dyDescent="0.3">
      <c r="A12" s="2" t="s">
        <v>131</v>
      </c>
      <c r="B12" s="7" t="s">
        <v>6</v>
      </c>
      <c r="J12" s="7"/>
      <c r="K12" s="29" t="s">
        <v>140</v>
      </c>
    </row>
    <row r="13" spans="1:11" ht="13" x14ac:dyDescent="0.3">
      <c r="A13" s="31" t="s">
        <v>7</v>
      </c>
      <c r="B13" s="6">
        <v>3</v>
      </c>
      <c r="C13" s="8">
        <v>83556</v>
      </c>
      <c r="D13" s="8"/>
      <c r="E13" s="8">
        <v>10169</v>
      </c>
      <c r="F13" s="8"/>
      <c r="G13" s="8">
        <f>SUM(C13+E13)</f>
        <v>93725</v>
      </c>
      <c r="H13" s="1"/>
      <c r="I13" s="1">
        <f>93774-2623</f>
        <v>91151</v>
      </c>
      <c r="J13" s="3"/>
    </row>
    <row r="14" spans="1:11" ht="13" x14ac:dyDescent="0.3">
      <c r="A14" s="32" t="s">
        <v>8</v>
      </c>
      <c r="C14" s="8">
        <v>0</v>
      </c>
      <c r="D14" s="33"/>
      <c r="E14" s="8">
        <f>'Page 10'!S17</f>
        <v>1670</v>
      </c>
      <c r="F14" s="33"/>
      <c r="G14" s="8">
        <f>SUM(C14+E14)</f>
        <v>1670</v>
      </c>
      <c r="H14" s="1"/>
      <c r="I14" s="1">
        <v>5165</v>
      </c>
      <c r="J14" s="3"/>
      <c r="K14" s="34"/>
    </row>
    <row r="15" spans="1:11" ht="13" x14ac:dyDescent="0.3">
      <c r="A15" s="32" t="s">
        <v>9</v>
      </c>
      <c r="B15" s="6"/>
      <c r="C15" s="8">
        <f>'Page 10'!P32</f>
        <v>2344.89</v>
      </c>
      <c r="D15" s="8"/>
      <c r="E15" s="8">
        <f>'Page 10'!S24</f>
        <v>0</v>
      </c>
      <c r="F15" s="8"/>
      <c r="G15" s="8">
        <f>SUM(C15+E15)</f>
        <v>2344.89</v>
      </c>
      <c r="H15" s="1"/>
      <c r="I15" s="1">
        <v>42514</v>
      </c>
      <c r="J15" s="3"/>
    </row>
    <row r="16" spans="1:11" ht="13" x14ac:dyDescent="0.3">
      <c r="A16" s="32" t="s">
        <v>119</v>
      </c>
      <c r="B16" s="6">
        <v>9</v>
      </c>
      <c r="C16" s="8">
        <f>'[1]Unrestricted Investments'!$D$18</f>
        <v>4752</v>
      </c>
      <c r="D16" s="8"/>
      <c r="E16" s="8">
        <f>'[1]Restricted Investments'!$D$18</f>
        <v>386</v>
      </c>
      <c r="F16" s="8"/>
      <c r="G16" s="8">
        <f>SUM(C16+E16)</f>
        <v>5138</v>
      </c>
      <c r="H16" s="1"/>
      <c r="I16" s="1">
        <v>1898</v>
      </c>
      <c r="J16" s="3"/>
    </row>
    <row r="17" spans="1:11" ht="13" x14ac:dyDescent="0.3">
      <c r="A17" s="7" t="s">
        <v>130</v>
      </c>
      <c r="B17" s="6"/>
      <c r="C17" s="35">
        <v>2347</v>
      </c>
      <c r="D17" s="1"/>
      <c r="E17" s="35">
        <v>0</v>
      </c>
      <c r="F17" s="1"/>
      <c r="G17" s="35">
        <f>SUM(C17+E17)</f>
        <v>2347</v>
      </c>
      <c r="H17" s="1"/>
      <c r="I17" s="35">
        <v>3308</v>
      </c>
      <c r="J17" s="3"/>
    </row>
    <row r="18" spans="1:11" x14ac:dyDescent="0.25">
      <c r="C18" s="36">
        <f>SUM(C13:C17)</f>
        <v>92999.89</v>
      </c>
      <c r="D18" s="1"/>
      <c r="E18" s="36">
        <f>SUM(E13:E17)</f>
        <v>12225</v>
      </c>
      <c r="F18" s="1"/>
      <c r="G18" s="36">
        <f>SUM(G13:G17)</f>
        <v>105224.89</v>
      </c>
      <c r="H18" s="1"/>
      <c r="I18" s="36">
        <f>SUM(I13:I17)</f>
        <v>144036</v>
      </c>
      <c r="J18" s="3"/>
    </row>
    <row r="19" spans="1:11" ht="13" x14ac:dyDescent="0.3">
      <c r="A19" s="7" t="s">
        <v>120</v>
      </c>
      <c r="C19" s="1">
        <v>0</v>
      </c>
      <c r="D19" s="1"/>
      <c r="E19" s="1">
        <v>0</v>
      </c>
      <c r="F19" s="1"/>
      <c r="G19" s="8">
        <f t="shared" ref="G19:G20" si="0">SUM(C19+E19)</f>
        <v>0</v>
      </c>
      <c r="H19" s="1"/>
      <c r="I19" s="1">
        <v>66575</v>
      </c>
      <c r="J19" s="3"/>
    </row>
    <row r="20" spans="1:11" ht="13" x14ac:dyDescent="0.3">
      <c r="A20" s="7" t="s">
        <v>121</v>
      </c>
      <c r="B20" s="6">
        <v>9</v>
      </c>
      <c r="C20" s="1">
        <v>0</v>
      </c>
      <c r="D20" s="1"/>
      <c r="E20" s="1">
        <v>0</v>
      </c>
      <c r="F20" s="1"/>
      <c r="G20" s="8">
        <f t="shared" si="0"/>
        <v>0</v>
      </c>
      <c r="H20" s="1"/>
      <c r="I20" s="1">
        <v>78452</v>
      </c>
      <c r="J20" s="3"/>
    </row>
    <row r="21" spans="1:11" ht="13" x14ac:dyDescent="0.3">
      <c r="A21" s="2" t="s">
        <v>10</v>
      </c>
      <c r="C21" s="37">
        <f>SUM(C18:C20)</f>
        <v>92999.89</v>
      </c>
      <c r="D21" s="1"/>
      <c r="E21" s="37">
        <f>SUM(E18:E20)</f>
        <v>12225</v>
      </c>
      <c r="F21" s="1"/>
      <c r="G21" s="37">
        <f>SUM(G18:G20)</f>
        <v>105224.89</v>
      </c>
      <c r="H21" s="1"/>
      <c r="I21" s="37">
        <f>SUM(I18:I20)</f>
        <v>289063</v>
      </c>
      <c r="J21" s="3"/>
    </row>
    <row r="22" spans="1:11" s="9" customFormat="1" x14ac:dyDescent="0.25">
      <c r="C22" s="25"/>
      <c r="D22" s="25"/>
      <c r="E22" s="25"/>
      <c r="F22" s="25"/>
      <c r="G22" s="25"/>
      <c r="H22" s="25"/>
      <c r="I22" s="25"/>
      <c r="K22" s="38"/>
    </row>
    <row r="23" spans="1:11" s="9" customFormat="1" ht="13" x14ac:dyDescent="0.3">
      <c r="C23" s="39"/>
      <c r="D23" s="25"/>
      <c r="E23" s="39"/>
      <c r="F23" s="25"/>
      <c r="G23" s="39"/>
      <c r="H23" s="25"/>
      <c r="I23" s="25"/>
      <c r="K23" s="38"/>
    </row>
    <row r="24" spans="1:11" ht="13" x14ac:dyDescent="0.3">
      <c r="A24" s="2" t="s">
        <v>132</v>
      </c>
      <c r="C24" s="1"/>
      <c r="D24" s="1"/>
      <c r="E24" s="1"/>
      <c r="F24" s="1"/>
      <c r="G24" s="1"/>
      <c r="H24" s="1"/>
      <c r="I24" s="1"/>
      <c r="J24" s="3"/>
    </row>
    <row r="25" spans="1:11" ht="13" x14ac:dyDescent="0.3">
      <c r="A25" s="7" t="s">
        <v>12</v>
      </c>
      <c r="B25" s="6">
        <v>4</v>
      </c>
      <c r="C25" s="1">
        <f>'Page 10'!D50+'Page 10'!D55</f>
        <v>105388</v>
      </c>
      <c r="D25" s="1"/>
      <c r="E25" s="1">
        <f>'Page 10'!G50+'Page 10'!G55</f>
        <v>10062.549999999999</v>
      </c>
      <c r="F25" s="1"/>
      <c r="G25" s="1">
        <f>SUM(C25+E25)</f>
        <v>115450.55</v>
      </c>
      <c r="H25" s="1"/>
      <c r="I25" s="1">
        <f>'Page 10'!L50</f>
        <v>108587</v>
      </c>
      <c r="J25" s="3"/>
    </row>
    <row r="26" spans="1:11" ht="13" x14ac:dyDescent="0.3">
      <c r="A26" s="40"/>
      <c r="B26" s="6"/>
      <c r="C26" s="25"/>
      <c r="D26" s="25"/>
      <c r="E26" s="25"/>
      <c r="F26" s="25"/>
      <c r="G26" s="25"/>
      <c r="H26" s="1"/>
      <c r="I26" s="1"/>
      <c r="J26" s="3"/>
    </row>
    <row r="27" spans="1:11" s="10" customFormat="1" ht="13" x14ac:dyDescent="0.3">
      <c r="A27" s="41" t="s">
        <v>133</v>
      </c>
      <c r="B27" s="6"/>
      <c r="C27" s="42">
        <f>C25</f>
        <v>105388</v>
      </c>
      <c r="D27" s="11"/>
      <c r="E27" s="42">
        <f>E25</f>
        <v>10062.549999999999</v>
      </c>
      <c r="F27" s="11"/>
      <c r="G27" s="42">
        <f>G25</f>
        <v>115450.55</v>
      </c>
      <c r="H27" s="11"/>
      <c r="I27" s="42">
        <f>I25</f>
        <v>108587</v>
      </c>
      <c r="K27" s="43"/>
    </row>
    <row r="28" spans="1:11" ht="13" x14ac:dyDescent="0.3">
      <c r="A28" s="9"/>
      <c r="B28" s="6"/>
      <c r="C28" s="25"/>
      <c r="D28" s="25"/>
      <c r="E28" s="25"/>
      <c r="F28" s="25"/>
      <c r="G28" s="25"/>
      <c r="H28" s="1"/>
      <c r="I28" s="1"/>
      <c r="J28" s="3"/>
    </row>
    <row r="29" spans="1:11" ht="13" x14ac:dyDescent="0.3">
      <c r="A29" s="9"/>
      <c r="C29" s="26"/>
      <c r="D29" s="1"/>
      <c r="E29" s="26"/>
      <c r="F29" s="1"/>
      <c r="G29" s="39"/>
      <c r="H29" s="1"/>
      <c r="I29" s="35"/>
      <c r="J29" s="3"/>
    </row>
    <row r="30" spans="1:11" ht="13" x14ac:dyDescent="0.3">
      <c r="A30" s="7" t="s">
        <v>170</v>
      </c>
      <c r="C30" s="44">
        <f>C21-C27</f>
        <v>-12388.11</v>
      </c>
      <c r="D30" s="1"/>
      <c r="E30" s="44">
        <f>E21-E27</f>
        <v>2162.4500000000007</v>
      </c>
      <c r="F30" s="1"/>
      <c r="G30" s="44">
        <f>G21-G27</f>
        <v>-10225.660000000003</v>
      </c>
      <c r="H30" s="1"/>
      <c r="I30" s="44">
        <f>I21-I27</f>
        <v>180476</v>
      </c>
      <c r="J30" s="3"/>
    </row>
    <row r="31" spans="1:11" x14ac:dyDescent="0.25">
      <c r="I31" s="3"/>
      <c r="J31" s="3"/>
    </row>
    <row r="32" spans="1:11" s="10" customFormat="1" ht="13" x14ac:dyDescent="0.3">
      <c r="A32" s="7" t="s">
        <v>134</v>
      </c>
      <c r="K32" s="43"/>
    </row>
    <row r="33" spans="1:11" s="10" customFormat="1" x14ac:dyDescent="0.25">
      <c r="C33" s="11"/>
      <c r="E33" s="11"/>
      <c r="G33" s="11"/>
      <c r="K33" s="43"/>
    </row>
    <row r="34" spans="1:11" s="10" customFormat="1" ht="13" x14ac:dyDescent="0.3">
      <c r="A34" s="7" t="s">
        <v>135</v>
      </c>
      <c r="C34" s="11">
        <f>'Page 9'!C22</f>
        <v>326315</v>
      </c>
      <c r="D34" s="11"/>
      <c r="E34" s="11">
        <f>'Page 9'!C33</f>
        <v>19871</v>
      </c>
      <c r="F34" s="11"/>
      <c r="G34" s="11">
        <f>C34+E34</f>
        <v>346186</v>
      </c>
      <c r="H34" s="11"/>
      <c r="I34" s="11">
        <v>166210</v>
      </c>
      <c r="K34" s="43"/>
    </row>
    <row r="35" spans="1:11" s="10" customFormat="1" ht="13" x14ac:dyDescent="0.3">
      <c r="A35" s="7"/>
      <c r="C35" s="11"/>
      <c r="D35" s="11"/>
      <c r="E35" s="11"/>
      <c r="F35" s="11"/>
      <c r="G35" s="11"/>
      <c r="H35" s="11"/>
      <c r="I35" s="11"/>
      <c r="K35" s="43"/>
    </row>
    <row r="36" spans="1:11" s="10" customFormat="1" ht="13.5" thickBot="1" x14ac:dyDescent="0.35">
      <c r="A36" s="7" t="s">
        <v>136</v>
      </c>
      <c r="C36" s="45">
        <f>C30+C34</f>
        <v>313926.89</v>
      </c>
      <c r="D36" s="11"/>
      <c r="E36" s="45">
        <f>E30+E34</f>
        <v>22033.45</v>
      </c>
      <c r="F36" s="11"/>
      <c r="G36" s="45">
        <f>G30+G34</f>
        <v>335960.33999999997</v>
      </c>
      <c r="H36" s="11"/>
      <c r="I36" s="45">
        <f>I30+I34</f>
        <v>346686</v>
      </c>
      <c r="K36" s="43"/>
    </row>
    <row r="37" spans="1:11" s="9" customFormat="1" ht="13" thickTop="1" x14ac:dyDescent="0.25">
      <c r="C37" s="25"/>
      <c r="D37" s="25"/>
      <c r="E37" s="25"/>
      <c r="F37" s="25"/>
      <c r="G37" s="25"/>
      <c r="H37" s="25"/>
      <c r="I37" s="25"/>
      <c r="K37" s="38"/>
    </row>
    <row r="38" spans="1:11" s="5" customFormat="1" ht="13" x14ac:dyDescent="0.3">
      <c r="C38" s="39"/>
      <c r="D38" s="39"/>
      <c r="E38" s="39"/>
      <c r="F38" s="39"/>
      <c r="G38" s="39"/>
      <c r="H38" s="39"/>
      <c r="I38" s="39"/>
      <c r="K38" s="46"/>
    </row>
    <row r="39" spans="1:11" x14ac:dyDescent="0.25">
      <c r="E39" s="1"/>
      <c r="G39" s="1"/>
    </row>
  </sheetData>
  <phoneticPr fontId="6" type="noConversion"/>
  <pageMargins left="0.51181102362204722" right="0.31496062992125984" top="0.74803149606299213" bottom="0.74803149606299213" header="0.31496062992125984" footer="0.31496062992125984"/>
  <pageSetup paperSize="9" orientation="portrait" horizontalDpi="4294967293" r:id="rId1"/>
  <headerFooter alignWithMargins="0">
    <oddFooter>&amp;C8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Q61"/>
  <sheetViews>
    <sheetView zoomScaleNormal="100" workbookViewId="0"/>
  </sheetViews>
  <sheetFormatPr defaultColWidth="8.81640625" defaultRowHeight="12.5" x14ac:dyDescent="0.25"/>
  <cols>
    <col min="1" max="1" width="3.54296875" customWidth="1"/>
    <col min="2" max="2" width="30.453125" customWidth="1"/>
    <col min="3" max="3" width="11.54296875" customWidth="1"/>
    <col min="4" max="4" width="2.54296875" customWidth="1"/>
    <col min="5" max="5" width="10.54296875" customWidth="1"/>
    <col min="6" max="6" width="2.54296875" customWidth="1"/>
    <col min="7" max="7" width="10.54296875" customWidth="1"/>
    <col min="8" max="9" width="2.54296875" customWidth="1"/>
    <col min="10" max="11" width="10.54296875" customWidth="1"/>
  </cols>
  <sheetData>
    <row r="1" spans="1:10" ht="13" x14ac:dyDescent="0.3">
      <c r="A1" s="2" t="s">
        <v>75</v>
      </c>
      <c r="B1" s="2"/>
    </row>
    <row r="2" spans="1:10" ht="13" x14ac:dyDescent="0.3">
      <c r="A2" s="2" t="s">
        <v>13</v>
      </c>
      <c r="B2" s="2"/>
      <c r="G2" s="18"/>
    </row>
    <row r="3" spans="1:10" ht="13" x14ac:dyDescent="0.3">
      <c r="A3" s="6">
        <v>1</v>
      </c>
      <c r="B3" s="7" t="s">
        <v>14</v>
      </c>
      <c r="G3" s="5"/>
    </row>
    <row r="5" spans="1:10" x14ac:dyDescent="0.25">
      <c r="B5" s="10" t="s">
        <v>139</v>
      </c>
    </row>
    <row r="6" spans="1:10" x14ac:dyDescent="0.25">
      <c r="B6" s="10" t="s">
        <v>137</v>
      </c>
    </row>
    <row r="7" spans="1:10" x14ac:dyDescent="0.25">
      <c r="B7" s="10" t="s">
        <v>159</v>
      </c>
    </row>
    <row r="8" spans="1:10" x14ac:dyDescent="0.25">
      <c r="B8" s="10" t="s">
        <v>138</v>
      </c>
    </row>
    <row r="9" spans="1:10" x14ac:dyDescent="0.25">
      <c r="B9" s="10" t="s">
        <v>160</v>
      </c>
    </row>
    <row r="10" spans="1:10" x14ac:dyDescent="0.25">
      <c r="B10" s="10" t="s">
        <v>161</v>
      </c>
      <c r="C10" s="3"/>
      <c r="D10" s="3"/>
      <c r="E10" s="3"/>
      <c r="F10" s="3"/>
      <c r="G10" s="3"/>
      <c r="H10" s="3"/>
      <c r="I10" s="3"/>
      <c r="J10" s="3"/>
    </row>
    <row r="11" spans="1:10" x14ac:dyDescent="0.25">
      <c r="B11" s="10"/>
      <c r="C11" s="3"/>
      <c r="D11" s="3"/>
      <c r="E11" s="3"/>
      <c r="F11" s="3"/>
      <c r="G11" s="3"/>
      <c r="H11" s="3"/>
      <c r="I11" s="3"/>
      <c r="J11" s="3"/>
    </row>
    <row r="12" spans="1:10" ht="13" x14ac:dyDescent="0.3">
      <c r="A12" s="6">
        <v>2</v>
      </c>
      <c r="B12" s="7" t="s">
        <v>15</v>
      </c>
      <c r="C12" s="6" t="s">
        <v>16</v>
      </c>
      <c r="J12" s="6" t="s">
        <v>17</v>
      </c>
    </row>
    <row r="13" spans="1:10" ht="13" x14ac:dyDescent="0.3">
      <c r="C13" s="6">
        <v>2025</v>
      </c>
      <c r="D13" s="6"/>
      <c r="E13" s="6" t="s">
        <v>5</v>
      </c>
      <c r="F13" s="6"/>
      <c r="G13" s="6" t="s">
        <v>11</v>
      </c>
      <c r="J13" s="6">
        <v>2025</v>
      </c>
    </row>
    <row r="14" spans="1:10" ht="13" x14ac:dyDescent="0.3">
      <c r="C14" s="6" t="s">
        <v>142</v>
      </c>
      <c r="D14" s="6"/>
      <c r="E14" s="6"/>
      <c r="F14" s="6"/>
      <c r="G14" s="6"/>
      <c r="J14" s="6"/>
    </row>
    <row r="15" spans="1:10" ht="13" x14ac:dyDescent="0.3">
      <c r="C15" s="6" t="s">
        <v>4</v>
      </c>
      <c r="E15" s="6" t="s">
        <v>4</v>
      </c>
      <c r="G15" s="6" t="s">
        <v>4</v>
      </c>
      <c r="J15" s="6" t="s">
        <v>4</v>
      </c>
    </row>
    <row r="16" spans="1:10" ht="13" x14ac:dyDescent="0.3">
      <c r="B16" s="7" t="s">
        <v>18</v>
      </c>
    </row>
    <row r="17" spans="2:17" x14ac:dyDescent="0.25">
      <c r="B17" s="3" t="s">
        <v>19</v>
      </c>
      <c r="C17" s="1">
        <v>17512</v>
      </c>
      <c r="D17" s="1"/>
      <c r="E17" s="1">
        <v>5765</v>
      </c>
      <c r="F17" s="1"/>
      <c r="G17" s="1">
        <v>10833</v>
      </c>
      <c r="H17" s="1"/>
      <c r="I17" s="1"/>
      <c r="J17" s="1">
        <f>C17+E17-G17</f>
        <v>12444</v>
      </c>
      <c r="M17" s="1"/>
    </row>
    <row r="18" spans="2:17" x14ac:dyDescent="0.25">
      <c r="B18" s="10" t="s">
        <v>20</v>
      </c>
      <c r="C18" s="1">
        <v>4133</v>
      </c>
      <c r="D18" s="1"/>
      <c r="E18" s="1">
        <v>1898</v>
      </c>
      <c r="F18" s="1"/>
      <c r="G18" s="1">
        <v>331</v>
      </c>
      <c r="H18" s="1"/>
      <c r="I18" s="1"/>
      <c r="J18" s="1">
        <f t="shared" ref="J18:J21" si="0">C18+E18-G18</f>
        <v>5700</v>
      </c>
      <c r="M18" s="1"/>
    </row>
    <row r="19" spans="2:17" s="10" customFormat="1" x14ac:dyDescent="0.25">
      <c r="B19" s="10" t="s">
        <v>21</v>
      </c>
      <c r="C19" s="11">
        <v>124762</v>
      </c>
      <c r="D19" s="11"/>
      <c r="E19" s="11">
        <f>2344+105</f>
        <v>2449</v>
      </c>
      <c r="F19" s="11"/>
      <c r="G19" s="11">
        <v>8400</v>
      </c>
      <c r="H19" s="11"/>
      <c r="I19" s="11"/>
      <c r="J19" s="1">
        <f t="shared" si="0"/>
        <v>118811</v>
      </c>
      <c r="M19" s="1"/>
    </row>
    <row r="20" spans="2:17" x14ac:dyDescent="0.25">
      <c r="B20" t="s">
        <v>145</v>
      </c>
      <c r="C20" s="1">
        <v>105030</v>
      </c>
      <c r="D20" s="1"/>
      <c r="E20" s="8">
        <f>75513+2623</f>
        <v>78136</v>
      </c>
      <c r="F20" s="8"/>
      <c r="G20" s="8">
        <f>86455-631</f>
        <v>85824</v>
      </c>
      <c r="H20" s="1"/>
      <c r="I20" s="1"/>
      <c r="J20" s="1">
        <f t="shared" si="0"/>
        <v>97342</v>
      </c>
      <c r="L20" s="9"/>
      <c r="M20" s="1"/>
    </row>
    <row r="21" spans="2:17" x14ac:dyDescent="0.25">
      <c r="B21" s="10" t="s">
        <v>122</v>
      </c>
      <c r="C21" s="1">
        <v>74878</v>
      </c>
      <c r="D21" s="1"/>
      <c r="E21" s="8">
        <v>4752</v>
      </c>
      <c r="F21" s="8"/>
      <c r="G21" s="8">
        <v>0</v>
      </c>
      <c r="H21" s="1"/>
      <c r="I21" s="1"/>
      <c r="J21" s="1">
        <f t="shared" si="0"/>
        <v>79630</v>
      </c>
      <c r="L21" s="9"/>
      <c r="M21" s="1"/>
    </row>
    <row r="22" spans="2:17" ht="13.5" thickBot="1" x14ac:dyDescent="0.35">
      <c r="B22" s="7"/>
      <c r="C22" s="13">
        <f>SUM(C16:C21)</f>
        <v>326315</v>
      </c>
      <c r="D22" s="1"/>
      <c r="E22" s="13">
        <f>SUM(E16:E21)</f>
        <v>93000</v>
      </c>
      <c r="F22" s="1"/>
      <c r="G22" s="13">
        <f>SUM(G16:G21)</f>
        <v>105388</v>
      </c>
      <c r="H22" s="1"/>
      <c r="I22" s="1"/>
      <c r="J22" s="13">
        <f>SUM(J16:J21)</f>
        <v>313927</v>
      </c>
      <c r="L22" s="1"/>
      <c r="M22" s="1"/>
    </row>
    <row r="23" spans="2:17" ht="13.5" thickTop="1" x14ac:dyDescent="0.3">
      <c r="B23" s="7" t="s">
        <v>22</v>
      </c>
      <c r="C23" s="1"/>
      <c r="D23" s="1"/>
      <c r="E23" s="1"/>
      <c r="F23" s="1"/>
      <c r="G23" s="1"/>
      <c r="H23" s="1"/>
      <c r="I23" s="1"/>
      <c r="J23" s="1"/>
      <c r="M23" s="1"/>
    </row>
    <row r="24" spans="2:17" x14ac:dyDescent="0.25">
      <c r="B24" t="s">
        <v>23</v>
      </c>
      <c r="C24" s="1">
        <v>5418</v>
      </c>
      <c r="D24" s="1"/>
      <c r="E24" s="1">
        <v>345</v>
      </c>
      <c r="F24" s="1"/>
      <c r="G24" s="1">
        <v>0</v>
      </c>
      <c r="H24" s="1"/>
      <c r="I24" s="1"/>
      <c r="J24" s="1">
        <f t="shared" ref="J24:J32" si="1">C24+E24-G24</f>
        <v>5763</v>
      </c>
      <c r="M24" s="1"/>
    </row>
    <row r="25" spans="2:17" x14ac:dyDescent="0.25">
      <c r="B25" s="3" t="s">
        <v>24</v>
      </c>
      <c r="C25" s="1">
        <v>1435</v>
      </c>
      <c r="D25" s="1"/>
      <c r="E25" s="1">
        <v>7048</v>
      </c>
      <c r="F25" s="1"/>
      <c r="G25" s="1">
        <v>5421</v>
      </c>
      <c r="H25" s="1"/>
      <c r="I25" s="1"/>
      <c r="J25" s="1">
        <f t="shared" si="1"/>
        <v>3062</v>
      </c>
      <c r="M25" s="1"/>
    </row>
    <row r="26" spans="2:17" ht="13" x14ac:dyDescent="0.3">
      <c r="B26" t="s">
        <v>25</v>
      </c>
      <c r="C26" s="1">
        <v>3736</v>
      </c>
      <c r="D26" s="1"/>
      <c r="E26" s="1">
        <v>0</v>
      </c>
      <c r="F26" s="1"/>
      <c r="G26" s="1">
        <v>0</v>
      </c>
      <c r="H26" s="1"/>
      <c r="I26" s="1"/>
      <c r="J26" s="1">
        <f t="shared" si="1"/>
        <v>3736</v>
      </c>
      <c r="L26" s="5"/>
      <c r="M26" s="1"/>
    </row>
    <row r="27" spans="2:17" s="3" customFormat="1" ht="13" x14ac:dyDescent="0.3">
      <c r="B27" s="3" t="s">
        <v>26</v>
      </c>
      <c r="C27" s="8">
        <v>2487</v>
      </c>
      <c r="D27" s="8"/>
      <c r="E27" s="8">
        <v>1445</v>
      </c>
      <c r="F27" s="8"/>
      <c r="G27" s="8">
        <v>1670</v>
      </c>
      <c r="H27" s="8"/>
      <c r="I27" s="8"/>
      <c r="J27" s="1">
        <f t="shared" si="1"/>
        <v>2262</v>
      </c>
      <c r="L27" s="19"/>
      <c r="M27" s="1"/>
      <c r="Q27"/>
    </row>
    <row r="28" spans="2:17" s="3" customFormat="1" ht="13" x14ac:dyDescent="0.3">
      <c r="B28" s="3" t="s">
        <v>27</v>
      </c>
      <c r="C28" s="8">
        <v>88</v>
      </c>
      <c r="D28" s="8"/>
      <c r="E28" s="8">
        <v>148</v>
      </c>
      <c r="F28" s="8"/>
      <c r="G28" s="8">
        <v>137</v>
      </c>
      <c r="H28" s="8"/>
      <c r="I28" s="8"/>
      <c r="J28" s="1">
        <f t="shared" si="1"/>
        <v>99</v>
      </c>
      <c r="L28" s="19"/>
      <c r="M28" s="1"/>
      <c r="Q28"/>
    </row>
    <row r="29" spans="2:17" x14ac:dyDescent="0.25">
      <c r="B29" s="10" t="s">
        <v>164</v>
      </c>
      <c r="C29" s="1">
        <v>756</v>
      </c>
      <c r="D29" s="1"/>
      <c r="E29" s="1">
        <v>616</v>
      </c>
      <c r="F29" s="1"/>
      <c r="G29" s="1">
        <v>636</v>
      </c>
      <c r="H29" s="1"/>
      <c r="I29" s="1"/>
      <c r="J29" s="1">
        <f t="shared" si="1"/>
        <v>736</v>
      </c>
      <c r="M29" s="1"/>
    </row>
    <row r="30" spans="2:17" x14ac:dyDescent="0.25">
      <c r="B30" s="10" t="s">
        <v>84</v>
      </c>
      <c r="C30" s="1">
        <v>332</v>
      </c>
      <c r="D30" s="1"/>
      <c r="E30" s="1">
        <v>1313</v>
      </c>
      <c r="F30" s="1"/>
      <c r="G30" s="1">
        <v>1358</v>
      </c>
      <c r="H30" s="1"/>
      <c r="I30" s="1"/>
      <c r="J30" s="1">
        <f t="shared" si="1"/>
        <v>287</v>
      </c>
      <c r="L30" s="1"/>
      <c r="M30" s="1"/>
    </row>
    <row r="31" spans="2:17" x14ac:dyDescent="0.25">
      <c r="B31" s="10" t="s">
        <v>76</v>
      </c>
      <c r="C31" s="1">
        <v>147</v>
      </c>
      <c r="D31" s="1"/>
      <c r="E31" s="1">
        <v>924</v>
      </c>
      <c r="F31" s="1"/>
      <c r="G31" s="1">
        <v>841</v>
      </c>
      <c r="H31" s="1"/>
      <c r="I31" s="1"/>
      <c r="J31" s="1">
        <f t="shared" si="1"/>
        <v>230</v>
      </c>
      <c r="M31" s="1"/>
    </row>
    <row r="32" spans="2:17" x14ac:dyDescent="0.25">
      <c r="B32" s="10" t="s">
        <v>122</v>
      </c>
      <c r="C32" s="1">
        <v>5472</v>
      </c>
      <c r="D32" s="1"/>
      <c r="E32" s="1">
        <v>386</v>
      </c>
      <c r="F32" s="1"/>
      <c r="G32" s="1">
        <v>0</v>
      </c>
      <c r="H32" s="1"/>
      <c r="I32" s="1"/>
      <c r="J32" s="1">
        <f t="shared" si="1"/>
        <v>5858</v>
      </c>
      <c r="M32" s="1"/>
    </row>
    <row r="33" spans="2:13" ht="13" thickBot="1" x14ac:dyDescent="0.3">
      <c r="C33" s="13">
        <f>SUM(C24:C32)</f>
        <v>19871</v>
      </c>
      <c r="D33" s="1"/>
      <c r="E33" s="13">
        <f>SUM(E24:E32)</f>
        <v>12225</v>
      </c>
      <c r="F33" s="1"/>
      <c r="G33" s="13">
        <f>SUM(G24:G32)</f>
        <v>10063</v>
      </c>
      <c r="H33" s="1"/>
      <c r="I33" s="1"/>
      <c r="J33" s="13">
        <f>SUM(J24:J32)</f>
        <v>22033</v>
      </c>
      <c r="L33" s="1"/>
      <c r="M33" s="1"/>
    </row>
    <row r="34" spans="2:13" s="20" customFormat="1" ht="13" thickTop="1" x14ac:dyDescent="0.25">
      <c r="C34" s="21"/>
      <c r="D34" s="21"/>
      <c r="E34" s="21"/>
      <c r="F34" s="21"/>
      <c r="G34" s="21"/>
      <c r="H34" s="21"/>
      <c r="I34" s="21"/>
      <c r="J34" s="21"/>
      <c r="M34" s="1"/>
    </row>
    <row r="35" spans="2:13" ht="13.5" thickBot="1" x14ac:dyDescent="0.35">
      <c r="B35" s="7" t="s">
        <v>28</v>
      </c>
      <c r="C35" s="13">
        <f>SUM(C22+C33)</f>
        <v>346186</v>
      </c>
      <c r="D35" s="1"/>
      <c r="E35" s="13">
        <f>SUM(E22+E33)</f>
        <v>105225</v>
      </c>
      <c r="F35" s="1"/>
      <c r="G35" s="13">
        <f>SUM(G22+G33)</f>
        <v>115451</v>
      </c>
      <c r="H35" s="1"/>
      <c r="I35" s="1"/>
      <c r="J35" s="13">
        <f>SUM(J22+J33)</f>
        <v>335960</v>
      </c>
      <c r="M35" s="1"/>
    </row>
    <row r="36" spans="2:13" s="20" customFormat="1" ht="13" thickTop="1" x14ac:dyDescent="0.25">
      <c r="I36" s="21"/>
      <c r="K36" s="21"/>
    </row>
    <row r="37" spans="2:13" s="20" customFormat="1" ht="13" x14ac:dyDescent="0.3">
      <c r="B37" s="2" t="s">
        <v>29</v>
      </c>
      <c r="E37" s="21"/>
      <c r="J37" s="21"/>
      <c r="L37" s="21"/>
    </row>
    <row r="38" spans="2:13" ht="13" x14ac:dyDescent="0.3">
      <c r="B38" s="2"/>
      <c r="J38" s="1"/>
      <c r="K38" s="1"/>
    </row>
    <row r="39" spans="2:13" ht="13" x14ac:dyDescent="0.3">
      <c r="B39" s="7" t="s">
        <v>30</v>
      </c>
    </row>
    <row r="40" spans="2:13" ht="13" x14ac:dyDescent="0.3">
      <c r="B40" s="7" t="s">
        <v>31</v>
      </c>
    </row>
    <row r="41" spans="2:13" s="9" customFormat="1" x14ac:dyDescent="0.25">
      <c r="B41" s="3" t="s">
        <v>32</v>
      </c>
    </row>
    <row r="42" spans="2:13" s="9" customFormat="1" ht="13" x14ac:dyDescent="0.3">
      <c r="B42" s="7" t="s">
        <v>166</v>
      </c>
    </row>
    <row r="43" spans="2:13" x14ac:dyDescent="0.25">
      <c r="B43" s="10" t="s">
        <v>162</v>
      </c>
    </row>
    <row r="44" spans="2:13" x14ac:dyDescent="0.25">
      <c r="B44" s="3"/>
      <c r="C44" s="3"/>
      <c r="D44" s="3"/>
      <c r="E44" s="3"/>
      <c r="F44" s="3"/>
      <c r="G44" s="3"/>
    </row>
    <row r="45" spans="2:13" ht="13" x14ac:dyDescent="0.3">
      <c r="B45" s="2" t="s">
        <v>33</v>
      </c>
    </row>
    <row r="46" spans="2:13" ht="13" x14ac:dyDescent="0.3">
      <c r="B46" s="7"/>
    </row>
    <row r="47" spans="2:13" ht="13" x14ac:dyDescent="0.3">
      <c r="B47" s="7" t="s">
        <v>34</v>
      </c>
    </row>
    <row r="48" spans="2:13" x14ac:dyDescent="0.25">
      <c r="B48" s="3" t="s">
        <v>35</v>
      </c>
    </row>
    <row r="49" spans="2:12" ht="12.75" customHeight="1" x14ac:dyDescent="0.3">
      <c r="B49" s="7" t="s">
        <v>36</v>
      </c>
    </row>
    <row r="50" spans="2:12" ht="12.75" customHeight="1" x14ac:dyDescent="0.25">
      <c r="B50" s="10" t="s">
        <v>167</v>
      </c>
    </row>
    <row r="51" spans="2:12" ht="13" x14ac:dyDescent="0.3">
      <c r="B51" s="7" t="s">
        <v>37</v>
      </c>
    </row>
    <row r="52" spans="2:12" x14ac:dyDescent="0.25">
      <c r="B52" t="s">
        <v>38</v>
      </c>
    </row>
    <row r="53" spans="2:12" s="10" customFormat="1" x14ac:dyDescent="0.25">
      <c r="B53" s="47" t="s">
        <v>168</v>
      </c>
    </row>
    <row r="54" spans="2:12" s="3" customFormat="1" x14ac:dyDescent="0.25">
      <c r="B54" s="15" t="s">
        <v>39</v>
      </c>
      <c r="L54" s="14"/>
    </row>
    <row r="55" spans="2:12" ht="13" x14ac:dyDescent="0.3">
      <c r="B55" s="10" t="s">
        <v>163</v>
      </c>
    </row>
    <row r="56" spans="2:12" x14ac:dyDescent="0.25">
      <c r="B56" s="3" t="s">
        <v>40</v>
      </c>
      <c r="C56" s="9"/>
      <c r="D56" s="9"/>
      <c r="E56" s="9"/>
      <c r="F56" s="9"/>
      <c r="G56" s="9"/>
      <c r="H56" s="9"/>
    </row>
    <row r="57" spans="2:12" ht="13" x14ac:dyDescent="0.3">
      <c r="B57" s="7" t="s">
        <v>118</v>
      </c>
      <c r="C57" s="9"/>
      <c r="D57" s="9"/>
      <c r="E57" s="9"/>
      <c r="F57" s="9"/>
      <c r="G57" s="9"/>
      <c r="H57" s="9"/>
    </row>
    <row r="58" spans="2:12" x14ac:dyDescent="0.25">
      <c r="B58" s="10" t="s">
        <v>165</v>
      </c>
    </row>
    <row r="59" spans="2:12" x14ac:dyDescent="0.25">
      <c r="B59" s="10"/>
    </row>
    <row r="60" spans="2:12" x14ac:dyDescent="0.25">
      <c r="B60" s="10"/>
    </row>
    <row r="61" spans="2:12" x14ac:dyDescent="0.25">
      <c r="B61" s="10"/>
    </row>
  </sheetData>
  <phoneticPr fontId="6" type="noConversion"/>
  <pageMargins left="0.51181102362204722" right="0.31496062992125984" top="0.74803149606299213" bottom="0.74803149606299213" header="0.31496062992125984" footer="0.31496062992125984"/>
  <pageSetup paperSize="9" scale="98" orientation="portrait" horizontalDpi="4294967293" r:id="rId1"/>
  <headerFooter alignWithMargins="0">
    <oddFooter xml:space="preserve">&amp;C9
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V69"/>
  <sheetViews>
    <sheetView topLeftCell="A43" zoomScaleNormal="100" workbookViewId="0"/>
  </sheetViews>
  <sheetFormatPr defaultColWidth="8.81640625" defaultRowHeight="12.5" x14ac:dyDescent="0.25"/>
  <cols>
    <col min="1" max="1" width="6.453125" customWidth="1"/>
    <col min="2" max="2" width="32.1796875" customWidth="1"/>
    <col min="3" max="3" width="3.54296875" customWidth="1"/>
    <col min="4" max="4" width="11.54296875" customWidth="1"/>
    <col min="5" max="5" width="3.81640625" customWidth="1"/>
    <col min="6" max="6" width="6.54296875" hidden="1" customWidth="1"/>
    <col min="7" max="7" width="10.54296875" customWidth="1"/>
    <col min="8" max="8" width="3.81640625" customWidth="1"/>
    <col min="9" max="9" width="3.54296875" hidden="1" customWidth="1"/>
    <col min="10" max="10" width="10.54296875" customWidth="1"/>
    <col min="11" max="11" width="3.54296875" customWidth="1"/>
    <col min="12" max="12" width="10.54296875" customWidth="1"/>
    <col min="13" max="13" width="8.81640625" customWidth="1"/>
    <col min="14" max="14" width="16.453125" style="49" hidden="1" customWidth="1"/>
    <col min="15" max="15" width="8.81640625" hidden="1" customWidth="1"/>
    <col min="16" max="16" width="9.1796875" style="49" hidden="1" customWidth="1"/>
    <col min="17" max="17" width="8.81640625" style="49" hidden="1" customWidth="1"/>
    <col min="18" max="18" width="18.81640625" hidden="1" customWidth="1"/>
    <col min="19" max="19" width="9.1796875" style="49" hidden="1" customWidth="1"/>
    <col min="20" max="22" width="8.81640625" hidden="1" customWidth="1"/>
  </cols>
  <sheetData>
    <row r="1" spans="1:19" ht="13" x14ac:dyDescent="0.3">
      <c r="B1" s="10"/>
      <c r="D1" s="7" t="s">
        <v>0</v>
      </c>
      <c r="E1" s="7"/>
      <c r="G1" s="7" t="s">
        <v>1</v>
      </c>
      <c r="H1" s="7"/>
      <c r="N1" s="48" t="s">
        <v>77</v>
      </c>
    </row>
    <row r="2" spans="1:19" ht="13" x14ac:dyDescent="0.3">
      <c r="A2" s="5"/>
      <c r="B2" s="5"/>
      <c r="D2" s="6" t="s">
        <v>2</v>
      </c>
      <c r="E2" s="6"/>
      <c r="G2" s="6" t="s">
        <v>2</v>
      </c>
      <c r="H2" s="6"/>
      <c r="J2" s="6" t="s">
        <v>3</v>
      </c>
      <c r="L2" s="6" t="s">
        <v>3</v>
      </c>
    </row>
    <row r="3" spans="1:19" ht="13" x14ac:dyDescent="0.3">
      <c r="A3" s="5"/>
      <c r="B3" s="5"/>
      <c r="D3" s="6"/>
      <c r="E3" s="6"/>
      <c r="G3" s="6"/>
      <c r="H3" s="6"/>
      <c r="J3" s="6"/>
      <c r="L3" s="65" t="s">
        <v>171</v>
      </c>
    </row>
    <row r="4" spans="1:19" ht="13" x14ac:dyDescent="0.3">
      <c r="A4" s="5"/>
      <c r="B4" s="5"/>
      <c r="D4" s="6">
        <v>2025</v>
      </c>
      <c r="E4" s="6"/>
      <c r="G4" s="6">
        <v>2025</v>
      </c>
      <c r="H4" s="6"/>
      <c r="J4" s="6">
        <v>2025</v>
      </c>
      <c r="L4" s="6">
        <v>2024</v>
      </c>
      <c r="N4" s="50" t="s">
        <v>78</v>
      </c>
    </row>
    <row r="5" spans="1:19" ht="13" x14ac:dyDescent="0.3">
      <c r="A5" s="32">
        <v>3</v>
      </c>
      <c r="B5" s="7" t="s">
        <v>41</v>
      </c>
      <c r="D5" s="6" t="s">
        <v>4</v>
      </c>
      <c r="E5" s="6"/>
      <c r="G5" s="6" t="s">
        <v>4</v>
      </c>
      <c r="H5" s="6"/>
      <c r="J5" s="6" t="s">
        <v>4</v>
      </c>
      <c r="L5" s="6" t="s">
        <v>4</v>
      </c>
      <c r="N5" s="48" t="s">
        <v>79</v>
      </c>
      <c r="P5" s="49">
        <v>28.69</v>
      </c>
      <c r="R5" s="51" t="s">
        <v>95</v>
      </c>
    </row>
    <row r="6" spans="1:19" ht="13" x14ac:dyDescent="0.3">
      <c r="A6" s="32"/>
      <c r="B6" s="7"/>
      <c r="D6" s="6"/>
      <c r="E6" s="6"/>
      <c r="G6" s="6"/>
      <c r="H6" s="6"/>
      <c r="J6" s="6"/>
      <c r="L6" s="6"/>
      <c r="N6" s="48" t="s">
        <v>80</v>
      </c>
      <c r="P6" s="49">
        <v>1461</v>
      </c>
      <c r="R6" s="10" t="s">
        <v>96</v>
      </c>
      <c r="S6" s="49">
        <v>280</v>
      </c>
    </row>
    <row r="7" spans="1:19" x14ac:dyDescent="0.25">
      <c r="B7" t="s">
        <v>42</v>
      </c>
      <c r="D7" s="1">
        <v>6686</v>
      </c>
      <c r="E7" s="1"/>
      <c r="F7" s="1"/>
      <c r="G7" s="1"/>
      <c r="H7" s="1"/>
      <c r="I7" s="1"/>
      <c r="J7" s="1">
        <f t="shared" ref="J7:J14" si="0">D7+G7</f>
        <v>6686</v>
      </c>
      <c r="L7" s="1">
        <v>7203</v>
      </c>
      <c r="N7" s="48" t="s">
        <v>99</v>
      </c>
      <c r="O7" s="1"/>
      <c r="R7" s="10" t="s">
        <v>97</v>
      </c>
      <c r="S7" s="49">
        <v>1349</v>
      </c>
    </row>
    <row r="8" spans="1:19" ht="13" x14ac:dyDescent="0.3">
      <c r="B8" t="s">
        <v>43</v>
      </c>
      <c r="D8" s="1">
        <v>43730</v>
      </c>
      <c r="E8" s="1"/>
      <c r="F8" s="1"/>
      <c r="G8" s="1"/>
      <c r="H8" s="1"/>
      <c r="I8" s="1"/>
      <c r="J8" s="1">
        <f t="shared" si="0"/>
        <v>43730</v>
      </c>
      <c r="L8" s="1">
        <v>38528</v>
      </c>
      <c r="O8" s="1"/>
      <c r="P8" s="52">
        <f>SUM(P5:P7)</f>
        <v>1489.69</v>
      </c>
      <c r="R8" s="10" t="s">
        <v>98</v>
      </c>
      <c r="S8" s="49">
        <v>326</v>
      </c>
    </row>
    <row r="9" spans="1:19" x14ac:dyDescent="0.25">
      <c r="B9" t="s">
        <v>44</v>
      </c>
      <c r="D9" s="53">
        <f>12329+2623</f>
        <v>14952</v>
      </c>
      <c r="E9" s="53"/>
      <c r="F9" s="1"/>
      <c r="G9" s="53"/>
      <c r="H9" s="53"/>
      <c r="I9" s="1"/>
      <c r="J9" s="1">
        <f t="shared" si="0"/>
        <v>14952</v>
      </c>
      <c r="L9" s="1">
        <v>13968</v>
      </c>
      <c r="R9" s="10" t="s">
        <v>99</v>
      </c>
      <c r="S9" s="49">
        <v>3364</v>
      </c>
    </row>
    <row r="10" spans="1:19" x14ac:dyDescent="0.25">
      <c r="B10" t="s">
        <v>45</v>
      </c>
      <c r="D10" s="1">
        <f>4918-116</f>
        <v>4802</v>
      </c>
      <c r="E10" s="1"/>
      <c r="F10" s="1"/>
      <c r="G10" s="1"/>
      <c r="H10" s="1"/>
      <c r="I10" s="1"/>
      <c r="J10" s="1">
        <f t="shared" si="0"/>
        <v>4802</v>
      </c>
      <c r="L10" s="1">
        <v>3469</v>
      </c>
      <c r="N10" s="50" t="s">
        <v>83</v>
      </c>
      <c r="R10" s="10" t="s">
        <v>100</v>
      </c>
      <c r="S10" s="49">
        <v>762</v>
      </c>
    </row>
    <row r="11" spans="1:19" hidden="1" x14ac:dyDescent="0.25">
      <c r="D11" s="1"/>
      <c r="E11" s="1"/>
      <c r="F11" s="1"/>
      <c r="G11" s="1"/>
      <c r="H11" s="1"/>
      <c r="I11" s="1"/>
      <c r="J11" s="1"/>
      <c r="L11" s="1"/>
      <c r="N11" s="48" t="s">
        <v>146</v>
      </c>
      <c r="P11" s="49">
        <v>393.85</v>
      </c>
      <c r="R11" s="9" t="s">
        <v>117</v>
      </c>
      <c r="S11" s="54">
        <f>105341-105225</f>
        <v>116</v>
      </c>
    </row>
    <row r="12" spans="1:19" ht="13" x14ac:dyDescent="0.3">
      <c r="B12" s="3" t="s">
        <v>46</v>
      </c>
      <c r="D12" s="1">
        <v>5765</v>
      </c>
      <c r="E12" s="1"/>
      <c r="F12" s="1"/>
      <c r="G12" s="1"/>
      <c r="H12" s="1"/>
      <c r="I12" s="1"/>
      <c r="J12" s="1">
        <f t="shared" si="0"/>
        <v>5765</v>
      </c>
      <c r="L12" s="1">
        <v>576</v>
      </c>
      <c r="N12" s="50" t="s">
        <v>92</v>
      </c>
      <c r="P12" s="49">
        <v>262.85000000000002</v>
      </c>
      <c r="R12" s="10"/>
      <c r="S12" s="52">
        <f>SUM(S6:S11)</f>
        <v>6197</v>
      </c>
    </row>
    <row r="13" spans="1:19" x14ac:dyDescent="0.25">
      <c r="B13" s="10" t="s">
        <v>47</v>
      </c>
      <c r="C13" s="10"/>
      <c r="D13" s="11">
        <v>1898</v>
      </c>
      <c r="E13" s="8"/>
      <c r="F13" s="8"/>
      <c r="G13" s="8"/>
      <c r="H13" s="8"/>
      <c r="I13" s="8"/>
      <c r="J13" s="8">
        <f t="shared" si="0"/>
        <v>1898</v>
      </c>
      <c r="L13" s="1">
        <v>0</v>
      </c>
      <c r="N13" s="48" t="s">
        <v>84</v>
      </c>
      <c r="P13" s="49">
        <v>370</v>
      </c>
      <c r="R13" s="10" t="s">
        <v>101</v>
      </c>
      <c r="S13" s="49">
        <v>500</v>
      </c>
    </row>
    <row r="14" spans="1:19" ht="13" x14ac:dyDescent="0.3">
      <c r="B14" s="3" t="s">
        <v>48</v>
      </c>
      <c r="C14" s="3"/>
      <c r="D14" s="8">
        <f>P33</f>
        <v>104.54</v>
      </c>
      <c r="E14" s="8"/>
      <c r="F14" s="33" t="s">
        <v>88</v>
      </c>
      <c r="G14" s="8"/>
      <c r="H14" s="8"/>
      <c r="I14" s="8"/>
      <c r="J14" s="8">
        <f t="shared" si="0"/>
        <v>104.54</v>
      </c>
      <c r="L14" s="8">
        <v>13263</v>
      </c>
      <c r="N14" s="48" t="s">
        <v>76</v>
      </c>
      <c r="O14" s="48"/>
      <c r="P14" s="48">
        <v>700</v>
      </c>
      <c r="S14" s="52">
        <f>S12-S13</f>
        <v>5697</v>
      </c>
    </row>
    <row r="15" spans="1:19" x14ac:dyDescent="0.25">
      <c r="B15" s="10" t="s">
        <v>49</v>
      </c>
      <c r="C15" s="3"/>
      <c r="D15" s="8">
        <v>0</v>
      </c>
      <c r="E15" s="8"/>
      <c r="F15" s="8"/>
      <c r="G15" s="8">
        <f>7048-P11-P48</f>
        <v>4984.1499999999996</v>
      </c>
      <c r="H15" s="8"/>
      <c r="I15" s="33" t="s">
        <v>93</v>
      </c>
      <c r="J15" s="8">
        <f>D15+G15</f>
        <v>4984.1499999999996</v>
      </c>
      <c r="L15" s="1">
        <v>5108</v>
      </c>
      <c r="N15" s="48" t="s">
        <v>85</v>
      </c>
      <c r="P15" s="49">
        <v>168</v>
      </c>
    </row>
    <row r="16" spans="1:19" x14ac:dyDescent="0.25">
      <c r="B16" s="3" t="s">
        <v>50</v>
      </c>
      <c r="C16" s="3"/>
      <c r="D16" s="8">
        <f>P29</f>
        <v>1270</v>
      </c>
      <c r="E16" s="8"/>
      <c r="F16" s="51" t="s">
        <v>86</v>
      </c>
      <c r="G16" s="8"/>
      <c r="H16" s="8"/>
      <c r="I16" s="8"/>
      <c r="J16" s="8">
        <f>D16+G16</f>
        <v>1270</v>
      </c>
      <c r="L16" s="1">
        <v>2160</v>
      </c>
      <c r="N16" s="48" t="s">
        <v>26</v>
      </c>
      <c r="P16" s="49">
        <v>300</v>
      </c>
      <c r="R16" s="12" t="s">
        <v>102</v>
      </c>
    </row>
    <row r="17" spans="1:22" x14ac:dyDescent="0.25">
      <c r="B17" s="10" t="s">
        <v>81</v>
      </c>
      <c r="C17" s="3"/>
      <c r="D17" s="8">
        <f>P22-1</f>
        <v>3251.7</v>
      </c>
      <c r="E17" s="8"/>
      <c r="F17" s="51" t="s">
        <v>83</v>
      </c>
      <c r="G17" s="8"/>
      <c r="H17" s="8"/>
      <c r="I17" s="8"/>
      <c r="J17" s="8">
        <f>D17+G17</f>
        <v>3251.7</v>
      </c>
      <c r="L17" s="1">
        <v>2047</v>
      </c>
      <c r="N17" s="48" t="s">
        <v>147</v>
      </c>
      <c r="P17" s="49">
        <v>105</v>
      </c>
      <c r="R17" s="10" t="s">
        <v>1</v>
      </c>
      <c r="S17" s="49">
        <f>P48</f>
        <v>1670</v>
      </c>
    </row>
    <row r="18" spans="1:22" x14ac:dyDescent="0.25">
      <c r="B18" s="10" t="s">
        <v>82</v>
      </c>
      <c r="D18" s="1">
        <f>P8-394</f>
        <v>1095.69</v>
      </c>
      <c r="E18" s="1"/>
      <c r="F18" s="33" t="s">
        <v>78</v>
      </c>
      <c r="G18" s="1">
        <f>P44+394-1</f>
        <v>5184.79</v>
      </c>
      <c r="H18" s="33"/>
      <c r="I18" s="51" t="s">
        <v>91</v>
      </c>
      <c r="J18" s="1">
        <f>D18+G18</f>
        <v>6280.48</v>
      </c>
      <c r="L18" s="1">
        <v>4829</v>
      </c>
      <c r="N18" s="48" t="s">
        <v>148</v>
      </c>
      <c r="P18" s="49">
        <v>370</v>
      </c>
      <c r="R18" s="10"/>
    </row>
    <row r="19" spans="1:22" ht="13" hidden="1" x14ac:dyDescent="0.3">
      <c r="N19" s="48" t="s">
        <v>149</v>
      </c>
      <c r="P19" s="49">
        <v>200</v>
      </c>
      <c r="S19" s="52">
        <f>SUM(S17:S18)</f>
        <v>1670</v>
      </c>
      <c r="V19" s="55"/>
    </row>
    <row r="20" spans="1:22" ht="13" thickBot="1" x14ac:dyDescent="0.3">
      <c r="B20" s="3"/>
      <c r="D20" s="13">
        <f>SUM(D7:D18)+1</f>
        <v>83555.929999999993</v>
      </c>
      <c r="E20" s="1"/>
      <c r="F20" s="1"/>
      <c r="G20" s="56">
        <f>SUM(G7:G18)</f>
        <v>10168.939999999999</v>
      </c>
      <c r="H20" s="8"/>
      <c r="I20" s="57"/>
      <c r="J20" s="13">
        <f>SUM(J7:J18)</f>
        <v>93723.869999999981</v>
      </c>
      <c r="L20" s="13">
        <f>SUM(L7:L18)</f>
        <v>91151</v>
      </c>
      <c r="N20" s="48" t="s">
        <v>150</v>
      </c>
      <c r="P20" s="49">
        <v>100</v>
      </c>
      <c r="V20" s="55"/>
    </row>
    <row r="21" spans="1:22" ht="13.5" thickTop="1" x14ac:dyDescent="0.3">
      <c r="D21" s="25"/>
      <c r="E21" s="25"/>
      <c r="F21" s="9"/>
      <c r="G21" s="25"/>
      <c r="H21" s="25"/>
      <c r="I21" s="9"/>
      <c r="J21" s="25"/>
      <c r="N21" s="48" t="s">
        <v>151</v>
      </c>
      <c r="P21" s="49">
        <f>203+80</f>
        <v>283</v>
      </c>
      <c r="Q21" s="52"/>
      <c r="R21" s="12" t="s">
        <v>103</v>
      </c>
      <c r="V21" s="55"/>
    </row>
    <row r="22" spans="1:22" ht="13" hidden="1" x14ac:dyDescent="0.3">
      <c r="D22" s="1"/>
      <c r="E22" s="1"/>
      <c r="G22" s="1"/>
      <c r="H22" s="1"/>
      <c r="J22" s="1"/>
      <c r="P22" s="52">
        <f>SUM(P11:P21)</f>
        <v>3252.7</v>
      </c>
      <c r="V22" s="55"/>
    </row>
    <row r="23" spans="1:22" ht="13" x14ac:dyDescent="0.3">
      <c r="A23" s="32">
        <v>4</v>
      </c>
      <c r="D23" s="1"/>
      <c r="E23" s="1"/>
      <c r="G23" s="1"/>
      <c r="H23" s="1"/>
      <c r="J23" s="1"/>
      <c r="N23" s="48"/>
      <c r="R23" s="10" t="s">
        <v>0</v>
      </c>
      <c r="S23" s="49">
        <f>P32</f>
        <v>2344.89</v>
      </c>
      <c r="V23" s="55"/>
    </row>
    <row r="24" spans="1:22" ht="13" x14ac:dyDescent="0.3">
      <c r="B24" s="7" t="s">
        <v>51</v>
      </c>
      <c r="P24" s="52"/>
      <c r="R24" s="10" t="s">
        <v>1</v>
      </c>
      <c r="S24" s="49">
        <v>0</v>
      </c>
      <c r="V24" s="55"/>
    </row>
    <row r="25" spans="1:22" ht="13" x14ac:dyDescent="0.3">
      <c r="A25">
        <v>1</v>
      </c>
      <c r="S25" s="52">
        <f>SUM(S23:S24)</f>
        <v>2344.89</v>
      </c>
    </row>
    <row r="26" spans="1:22" ht="13" x14ac:dyDescent="0.3">
      <c r="B26" s="7" t="s">
        <v>52</v>
      </c>
      <c r="D26" s="49"/>
      <c r="E26" s="49"/>
      <c r="F26" s="49"/>
      <c r="G26" s="49"/>
      <c r="H26" s="49"/>
      <c r="I26" s="49"/>
      <c r="J26" s="49"/>
      <c r="N26" s="50" t="s">
        <v>86</v>
      </c>
    </row>
    <row r="27" spans="1:22" x14ac:dyDescent="0.25">
      <c r="B27" t="s">
        <v>53</v>
      </c>
      <c r="D27" s="1">
        <v>57167</v>
      </c>
      <c r="E27" s="1"/>
      <c r="F27" s="1"/>
      <c r="G27" s="1">
        <v>0</v>
      </c>
      <c r="H27" s="1"/>
      <c r="I27" s="1"/>
      <c r="J27" s="1">
        <f>D27+G27</f>
        <v>57167</v>
      </c>
      <c r="L27" s="1">
        <v>43100</v>
      </c>
      <c r="N27" s="48"/>
    </row>
    <row r="28" spans="1:22" x14ac:dyDescent="0.25">
      <c r="B28" s="3" t="s">
        <v>54</v>
      </c>
      <c r="D28" s="1">
        <v>1476</v>
      </c>
      <c r="E28" s="1"/>
      <c r="F28" s="1"/>
      <c r="G28" s="1">
        <v>0</v>
      </c>
      <c r="H28" s="1"/>
      <c r="I28" s="1"/>
      <c r="J28" s="1">
        <f>D28+G28</f>
        <v>1476</v>
      </c>
      <c r="L28" s="1">
        <v>851</v>
      </c>
      <c r="N28" s="48" t="s">
        <v>87</v>
      </c>
      <c r="P28" s="49">
        <f>1898-628</f>
        <v>1270</v>
      </c>
    </row>
    <row r="29" spans="1:22" ht="13" hidden="1" x14ac:dyDescent="0.3">
      <c r="D29" s="1"/>
      <c r="E29" s="1"/>
      <c r="F29" s="1"/>
      <c r="G29" s="1"/>
      <c r="H29" s="1"/>
      <c r="I29" s="1"/>
      <c r="J29" s="1"/>
      <c r="P29" s="52">
        <f>SUM(P27:P28)</f>
        <v>1270</v>
      </c>
    </row>
    <row r="30" spans="1:22" hidden="1" x14ac:dyDescent="0.25">
      <c r="D30" s="1"/>
      <c r="E30" s="1"/>
      <c r="F30" s="1"/>
      <c r="G30" s="1"/>
      <c r="H30" s="1"/>
      <c r="I30" s="1"/>
      <c r="J30" s="1"/>
    </row>
    <row r="31" spans="1:22" x14ac:dyDescent="0.25">
      <c r="A31">
        <v>2</v>
      </c>
      <c r="B31" s="3"/>
      <c r="D31" s="1"/>
      <c r="E31" s="1"/>
      <c r="F31" s="1"/>
      <c r="G31" s="1"/>
      <c r="H31" s="1"/>
      <c r="I31" s="1"/>
      <c r="J31" s="1"/>
      <c r="L31" s="1"/>
      <c r="N31" s="50"/>
    </row>
    <row r="32" spans="1:22" ht="13" x14ac:dyDescent="0.3">
      <c r="B32" s="7" t="s">
        <v>55</v>
      </c>
      <c r="D32" s="1"/>
      <c r="E32" s="1"/>
      <c r="F32" s="1"/>
      <c r="G32" s="1"/>
      <c r="H32" s="1"/>
      <c r="I32" s="1"/>
      <c r="J32" s="1"/>
      <c r="L32" s="1"/>
      <c r="N32" s="48" t="s">
        <v>89</v>
      </c>
      <c r="P32" s="49">
        <f>'[1]Combined Bequest Fund'!$D$57</f>
        <v>2344.89</v>
      </c>
      <c r="R32" t="s">
        <v>152</v>
      </c>
    </row>
    <row r="33" spans="1:16" x14ac:dyDescent="0.25">
      <c r="B33" s="3" t="s">
        <v>56</v>
      </c>
      <c r="D33" s="1">
        <v>296</v>
      </c>
      <c r="E33" s="1"/>
      <c r="F33" s="1"/>
      <c r="G33" s="1">
        <v>0</v>
      </c>
      <c r="H33" s="1"/>
      <c r="I33" s="1"/>
      <c r="J33" s="1">
        <f t="shared" ref="J33:J49" si="1">D33+G33</f>
        <v>296</v>
      </c>
      <c r="L33" s="1">
        <v>0</v>
      </c>
      <c r="N33" s="48" t="s">
        <v>90</v>
      </c>
      <c r="O33" s="58" t="s">
        <v>88</v>
      </c>
      <c r="P33" s="49">
        <f>'[1]Combined Bequest Fund'!$D$58</f>
        <v>104.54</v>
      </c>
    </row>
    <row r="34" spans="1:16" ht="13" x14ac:dyDescent="0.3">
      <c r="B34" s="3" t="s">
        <v>57</v>
      </c>
      <c r="D34" s="1">
        <v>4326</v>
      </c>
      <c r="E34" s="1"/>
      <c r="F34" s="1"/>
      <c r="G34" s="1">
        <v>0</v>
      </c>
      <c r="H34" s="1"/>
      <c r="I34" s="1"/>
      <c r="J34" s="1">
        <f t="shared" si="1"/>
        <v>4326</v>
      </c>
      <c r="L34" s="1">
        <v>3994</v>
      </c>
      <c r="M34" s="58"/>
      <c r="P34" s="52">
        <f>SUM(P32:P33)</f>
        <v>2449.4299999999998</v>
      </c>
    </row>
    <row r="35" spans="1:16" ht="13" x14ac:dyDescent="0.3">
      <c r="B35" s="3" t="s">
        <v>58</v>
      </c>
      <c r="D35" s="1">
        <v>194</v>
      </c>
      <c r="E35" s="1"/>
      <c r="F35" s="1"/>
      <c r="G35" s="1">
        <v>0</v>
      </c>
      <c r="H35" s="1"/>
      <c r="I35" s="1"/>
      <c r="J35" s="1">
        <f t="shared" si="1"/>
        <v>194</v>
      </c>
      <c r="L35" s="1">
        <v>600</v>
      </c>
      <c r="P35" s="52"/>
    </row>
    <row r="36" spans="1:16" hidden="1" x14ac:dyDescent="0.25">
      <c r="B36" s="3"/>
      <c r="D36" s="1"/>
      <c r="E36" s="1"/>
      <c r="F36" s="1"/>
      <c r="G36" s="1"/>
      <c r="H36" s="1"/>
      <c r="I36" s="1"/>
      <c r="J36" s="1"/>
      <c r="L36" s="1"/>
    </row>
    <row r="37" spans="1:16" x14ac:dyDescent="0.25">
      <c r="A37">
        <v>3</v>
      </c>
      <c r="B37" s="3"/>
      <c r="D37" s="1"/>
      <c r="E37" s="1"/>
      <c r="F37" s="1"/>
      <c r="G37" s="1"/>
      <c r="H37" s="1"/>
      <c r="I37" s="1"/>
      <c r="J37" s="1"/>
      <c r="L37" s="1"/>
      <c r="N37" s="50" t="s">
        <v>91</v>
      </c>
    </row>
    <row r="38" spans="1:16" ht="13" x14ac:dyDescent="0.3">
      <c r="B38" s="7" t="s">
        <v>59</v>
      </c>
      <c r="D38" s="1"/>
      <c r="E38" s="1"/>
      <c r="F38" s="1"/>
      <c r="G38" s="1"/>
      <c r="H38" s="1"/>
      <c r="I38" s="1"/>
      <c r="J38" s="1"/>
      <c r="L38" s="1"/>
      <c r="N38" s="48" t="s">
        <v>23</v>
      </c>
      <c r="P38" s="49">
        <v>345.07</v>
      </c>
    </row>
    <row r="39" spans="1:16" x14ac:dyDescent="0.25">
      <c r="B39" s="3" t="s">
        <v>60</v>
      </c>
      <c r="D39" s="1">
        <f>10833</f>
        <v>10833</v>
      </c>
      <c r="E39" s="1"/>
      <c r="F39" s="1"/>
      <c r="G39" s="1">
        <v>0</v>
      </c>
      <c r="H39" s="1"/>
      <c r="I39" s="1"/>
      <c r="J39" s="1">
        <f t="shared" si="1"/>
        <v>10833</v>
      </c>
      <c r="L39" s="1">
        <v>5524</v>
      </c>
      <c r="N39" s="48" t="s">
        <v>26</v>
      </c>
      <c r="P39" s="49">
        <v>1445.15</v>
      </c>
    </row>
    <row r="40" spans="1:16" x14ac:dyDescent="0.25">
      <c r="B40" s="10" t="s">
        <v>169</v>
      </c>
      <c r="D40" s="1">
        <v>1423</v>
      </c>
      <c r="E40" s="1"/>
      <c r="F40" s="1"/>
      <c r="G40" s="1">
        <v>0</v>
      </c>
      <c r="H40" s="1"/>
      <c r="I40" s="1"/>
      <c r="J40" s="1">
        <f t="shared" si="1"/>
        <v>1423</v>
      </c>
      <c r="L40" s="1">
        <v>2742</v>
      </c>
      <c r="N40" s="48" t="s">
        <v>92</v>
      </c>
      <c r="O40" s="10"/>
      <c r="P40" s="48">
        <v>147.78</v>
      </c>
    </row>
    <row r="41" spans="1:16" x14ac:dyDescent="0.25">
      <c r="B41" s="3" t="s">
        <v>61</v>
      </c>
      <c r="D41" s="1">
        <v>7375</v>
      </c>
      <c r="E41" s="1"/>
      <c r="F41" s="1"/>
      <c r="G41" s="1">
        <v>0</v>
      </c>
      <c r="H41" s="1"/>
      <c r="I41" s="1"/>
      <c r="J41" s="1">
        <f t="shared" si="1"/>
        <v>7375</v>
      </c>
      <c r="L41" s="1">
        <v>4985</v>
      </c>
      <c r="N41" s="48" t="s">
        <v>84</v>
      </c>
      <c r="O41" s="10"/>
      <c r="P41" s="48">
        <v>1313.2</v>
      </c>
    </row>
    <row r="42" spans="1:16" x14ac:dyDescent="0.25">
      <c r="B42" s="3" t="s">
        <v>62</v>
      </c>
      <c r="D42" s="1">
        <v>5977</v>
      </c>
      <c r="E42" s="1"/>
      <c r="F42" s="1"/>
      <c r="G42" s="1">
        <v>0</v>
      </c>
      <c r="H42" s="1"/>
      <c r="I42" s="1"/>
      <c r="J42" s="1">
        <f t="shared" si="1"/>
        <v>5977</v>
      </c>
      <c r="L42" s="1">
        <v>4279</v>
      </c>
      <c r="N42" s="48" t="s">
        <v>76</v>
      </c>
      <c r="O42" s="10"/>
      <c r="P42" s="48">
        <v>924.18</v>
      </c>
    </row>
    <row r="43" spans="1:16" x14ac:dyDescent="0.25">
      <c r="A43">
        <v>4</v>
      </c>
      <c r="D43" s="1"/>
      <c r="E43" s="1"/>
      <c r="F43" s="1"/>
      <c r="G43" s="1"/>
      <c r="H43" s="1"/>
      <c r="I43" s="1"/>
      <c r="J43" s="1"/>
      <c r="L43" s="1"/>
      <c r="N43" s="48" t="s">
        <v>85</v>
      </c>
      <c r="O43" s="10"/>
      <c r="P43" s="48">
        <v>616.41</v>
      </c>
    </row>
    <row r="44" spans="1:16" ht="13" x14ac:dyDescent="0.3">
      <c r="B44" s="7" t="s">
        <v>63</v>
      </c>
      <c r="D44" s="1"/>
      <c r="E44" s="1"/>
      <c r="F44" s="1"/>
      <c r="G44" s="1"/>
      <c r="H44" s="1"/>
      <c r="I44" s="1"/>
      <c r="J44" s="1"/>
      <c r="L44" s="1"/>
      <c r="N44" s="48"/>
      <c r="O44" s="10"/>
      <c r="P44" s="52">
        <f>SUM(P38:P43)</f>
        <v>4791.79</v>
      </c>
    </row>
    <row r="45" spans="1:16" x14ac:dyDescent="0.25">
      <c r="B45" s="3" t="s">
        <v>64</v>
      </c>
      <c r="D45" s="1">
        <v>642</v>
      </c>
      <c r="E45" s="1"/>
      <c r="F45" s="1"/>
      <c r="G45" s="1">
        <v>0</v>
      </c>
      <c r="H45" s="1"/>
      <c r="I45" s="1"/>
      <c r="J45" s="1">
        <f t="shared" si="1"/>
        <v>642</v>
      </c>
      <c r="L45" s="1">
        <v>685</v>
      </c>
    </row>
    <row r="46" spans="1:16" x14ac:dyDescent="0.25">
      <c r="B46" s="3" t="s">
        <v>65</v>
      </c>
      <c r="D46" s="1">
        <v>331</v>
      </c>
      <c r="E46" s="1"/>
      <c r="F46" s="1"/>
      <c r="G46" s="1">
        <v>0</v>
      </c>
      <c r="H46" s="1"/>
      <c r="I46" s="1"/>
      <c r="J46" s="1">
        <f t="shared" si="1"/>
        <v>331</v>
      </c>
      <c r="L46" s="1">
        <v>628</v>
      </c>
      <c r="N46" s="50" t="s">
        <v>93</v>
      </c>
    </row>
    <row r="47" spans="1:16" x14ac:dyDescent="0.25">
      <c r="B47" s="10" t="s">
        <v>153</v>
      </c>
      <c r="D47" s="1">
        <f>9651-500</f>
        <v>9151</v>
      </c>
      <c r="E47" s="1"/>
      <c r="F47" s="1"/>
      <c r="G47" s="1">
        <v>0</v>
      </c>
      <c r="H47" s="1"/>
      <c r="I47" s="1"/>
      <c r="J47" s="1">
        <f t="shared" si="1"/>
        <v>9151</v>
      </c>
      <c r="L47" s="1">
        <v>22067</v>
      </c>
      <c r="N47" s="48"/>
    </row>
    <row r="48" spans="1:16" x14ac:dyDescent="0.25">
      <c r="B48" s="3" t="s">
        <v>49</v>
      </c>
      <c r="D48" s="1"/>
      <c r="E48" s="1"/>
      <c r="F48" s="1"/>
      <c r="G48" s="1">
        <v>5419</v>
      </c>
      <c r="H48" s="1"/>
      <c r="I48" s="1"/>
      <c r="J48" s="1">
        <f t="shared" si="1"/>
        <v>5419</v>
      </c>
      <c r="L48" s="1">
        <v>8609</v>
      </c>
      <c r="N48" s="48" t="s">
        <v>146</v>
      </c>
      <c r="P48" s="49">
        <f>585+585+500</f>
        <v>1670</v>
      </c>
    </row>
    <row r="49" spans="1:17" x14ac:dyDescent="0.25">
      <c r="B49" s="3" t="s">
        <v>66</v>
      </c>
      <c r="D49" s="1">
        <f>S14</f>
        <v>5697</v>
      </c>
      <c r="E49" s="1"/>
      <c r="F49" s="33" t="s">
        <v>95</v>
      </c>
      <c r="G49" s="1">
        <f>P57</f>
        <v>4643.55</v>
      </c>
      <c r="H49" s="1"/>
      <c r="I49" s="33" t="s">
        <v>94</v>
      </c>
      <c r="J49" s="1">
        <f t="shared" si="1"/>
        <v>10340.549999999999</v>
      </c>
      <c r="K49" s="3"/>
      <c r="L49" s="11">
        <v>10523</v>
      </c>
      <c r="N49" s="48" t="s">
        <v>90</v>
      </c>
    </row>
    <row r="50" spans="1:17" ht="13.5" thickBot="1" x14ac:dyDescent="0.35">
      <c r="B50" s="7"/>
      <c r="D50" s="13">
        <f>SUM(D27:D49)</f>
        <v>104888</v>
      </c>
      <c r="E50" s="1"/>
      <c r="F50" s="1"/>
      <c r="G50" s="13">
        <f>SUM(G27:G49)</f>
        <v>10062.549999999999</v>
      </c>
      <c r="H50" s="1"/>
      <c r="I50" s="1"/>
      <c r="J50" s="13">
        <f>SUM(J26:J49)</f>
        <v>114950.55</v>
      </c>
      <c r="L50" s="13">
        <f>SUM(L27:L49)</f>
        <v>108587</v>
      </c>
      <c r="P50" s="52">
        <f>SUM(P48:P49)</f>
        <v>1670</v>
      </c>
    </row>
    <row r="51" spans="1:17" ht="13.5" thickTop="1" x14ac:dyDescent="0.3">
      <c r="B51" s="7"/>
      <c r="D51" s="1"/>
      <c r="E51" s="1"/>
      <c r="F51" s="1"/>
      <c r="G51" s="1"/>
      <c r="H51" s="1"/>
      <c r="I51" s="1"/>
      <c r="J51" s="1"/>
      <c r="L51" s="1"/>
      <c r="N51" s="50" t="s">
        <v>94</v>
      </c>
    </row>
    <row r="52" spans="1:17" hidden="1" x14ac:dyDescent="0.25">
      <c r="D52" s="25"/>
      <c r="E52" s="25"/>
      <c r="F52" s="25"/>
      <c r="G52" s="25"/>
      <c r="H52" s="25"/>
      <c r="I52" s="25"/>
      <c r="J52" s="25"/>
      <c r="L52" s="1"/>
      <c r="N52" s="48" t="s">
        <v>26</v>
      </c>
      <c r="P52" s="49">
        <v>1669.75</v>
      </c>
      <c r="Q52" s="48"/>
    </row>
    <row r="53" spans="1:17" hidden="1" x14ac:dyDescent="0.25">
      <c r="D53" s="1"/>
      <c r="E53" s="1"/>
      <c r="F53" s="1"/>
      <c r="G53" s="1"/>
      <c r="H53" s="1"/>
      <c r="I53" s="1"/>
      <c r="J53" s="1"/>
      <c r="L53" s="1"/>
      <c r="N53" s="48" t="s">
        <v>92</v>
      </c>
      <c r="P53" s="49">
        <v>136.97</v>
      </c>
      <c r="Q53" s="48"/>
    </row>
    <row r="54" spans="1:17" ht="13" x14ac:dyDescent="0.3">
      <c r="B54" s="7" t="s">
        <v>67</v>
      </c>
      <c r="D54" s="1"/>
      <c r="E54" s="1"/>
      <c r="F54" s="1"/>
      <c r="G54" s="1"/>
      <c r="H54" s="1"/>
      <c r="I54" s="1"/>
      <c r="J54" s="1"/>
      <c r="N54" s="48" t="s">
        <v>84</v>
      </c>
      <c r="P54" s="49">
        <v>1358.95</v>
      </c>
      <c r="Q54" s="48"/>
    </row>
    <row r="55" spans="1:17" x14ac:dyDescent="0.25">
      <c r="B55" s="3" t="s">
        <v>68</v>
      </c>
      <c r="D55" s="59">
        <v>500</v>
      </c>
      <c r="E55" s="60"/>
      <c r="F55" s="1"/>
      <c r="G55" s="24">
        <v>0</v>
      </c>
      <c r="H55" s="53"/>
      <c r="I55" s="60"/>
      <c r="J55" s="61">
        <f>D55+G55</f>
        <v>500</v>
      </c>
      <c r="L55" s="62">
        <v>500</v>
      </c>
      <c r="N55" s="48" t="s">
        <v>76</v>
      </c>
      <c r="P55" s="49">
        <v>841.01</v>
      </c>
      <c r="Q55" s="48"/>
    </row>
    <row r="56" spans="1:17" ht="13" x14ac:dyDescent="0.3">
      <c r="A56" s="32"/>
      <c r="N56" s="48" t="s">
        <v>85</v>
      </c>
      <c r="P56" s="49">
        <v>636.87</v>
      </c>
      <c r="Q56" s="48"/>
    </row>
    <row r="57" spans="1:17" ht="13" x14ac:dyDescent="0.3">
      <c r="B57" s="7"/>
      <c r="P57" s="52">
        <f>SUM(P52:P56)</f>
        <v>4643.55</v>
      </c>
      <c r="Q57" s="48"/>
    </row>
    <row r="59" spans="1:17" x14ac:dyDescent="0.25">
      <c r="B59" s="10"/>
    </row>
    <row r="60" spans="1:17" x14ac:dyDescent="0.25">
      <c r="B60" s="10"/>
    </row>
    <row r="62" spans="1:17" x14ac:dyDescent="0.25">
      <c r="O62" s="9"/>
    </row>
    <row r="63" spans="1:17" x14ac:dyDescent="0.25">
      <c r="O63" s="9"/>
    </row>
    <row r="64" spans="1:17" x14ac:dyDescent="0.25">
      <c r="O64" s="9"/>
    </row>
    <row r="65" spans="14:15" x14ac:dyDescent="0.25">
      <c r="O65" s="9"/>
    </row>
    <row r="66" spans="14:15" x14ac:dyDescent="0.25">
      <c r="O66" s="9"/>
    </row>
    <row r="67" spans="14:15" ht="13" x14ac:dyDescent="0.3">
      <c r="O67" s="5"/>
    </row>
    <row r="68" spans="14:15" x14ac:dyDescent="0.25">
      <c r="O68" s="9"/>
    </row>
    <row r="69" spans="14:15" ht="13" x14ac:dyDescent="0.3">
      <c r="N69" s="63"/>
      <c r="O69" s="64"/>
    </row>
  </sheetData>
  <phoneticPr fontId="6" type="noConversion"/>
  <pageMargins left="0.51181102362204722" right="0.31496062992125984" top="0.74803149606299213" bottom="0.74803149606299213" header="0.31496062992125984" footer="0.31496062992125984"/>
  <pageSetup paperSize="9" scale="91" orientation="portrait" horizontalDpi="4294967293" r:id="rId1"/>
  <headerFooter alignWithMargins="0">
    <oddFooter xml:space="preserve">&amp;C10
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K45"/>
  <sheetViews>
    <sheetView topLeftCell="A4" zoomScaleNormal="100" workbookViewId="0">
      <selection activeCell="I11" sqref="I11"/>
    </sheetView>
  </sheetViews>
  <sheetFormatPr defaultColWidth="8.81640625" defaultRowHeight="13" x14ac:dyDescent="0.3"/>
  <cols>
    <col min="1" max="1" width="3.81640625" style="7" customWidth="1"/>
    <col min="2" max="2" width="1.81640625" customWidth="1"/>
    <col min="3" max="3" width="20.1796875" customWidth="1"/>
    <col min="5" max="5" width="12.1796875" customWidth="1"/>
    <col min="7" max="7" width="12.1796875" customWidth="1"/>
    <col min="9" max="9" width="13.1796875" customWidth="1"/>
  </cols>
  <sheetData>
    <row r="1" spans="1:11" x14ac:dyDescent="0.3">
      <c r="C1" s="10"/>
    </row>
    <row r="2" spans="1:11" x14ac:dyDescent="0.3">
      <c r="C2" s="7" t="s">
        <v>69</v>
      </c>
      <c r="E2" s="5"/>
      <c r="F2" s="3"/>
    </row>
    <row r="4" spans="1:11" x14ac:dyDescent="0.3">
      <c r="A4" s="7">
        <v>5</v>
      </c>
      <c r="B4" s="10"/>
      <c r="C4" s="10" t="s">
        <v>70</v>
      </c>
      <c r="D4" s="10"/>
      <c r="E4" s="10"/>
      <c r="F4" s="10"/>
      <c r="G4" s="10"/>
      <c r="H4" s="10"/>
      <c r="I4" s="10"/>
      <c r="J4" s="9"/>
      <c r="K4" s="9"/>
    </row>
    <row r="5" spans="1:11" x14ac:dyDescent="0.3">
      <c r="B5" s="10"/>
      <c r="C5" s="10" t="s">
        <v>71</v>
      </c>
      <c r="D5" s="10"/>
      <c r="E5" s="10"/>
      <c r="F5" s="10"/>
      <c r="G5" s="10"/>
      <c r="H5" s="10"/>
      <c r="I5" s="10"/>
      <c r="J5" s="9"/>
      <c r="K5" s="9"/>
    </row>
    <row r="6" spans="1:11" x14ac:dyDescent="0.3">
      <c r="B6" s="10"/>
      <c r="C6" s="10" t="s">
        <v>72</v>
      </c>
      <c r="D6" s="10"/>
      <c r="E6" s="10"/>
      <c r="F6" s="10"/>
      <c r="G6" s="10"/>
      <c r="H6" s="10"/>
      <c r="I6" s="10"/>
      <c r="J6" s="9"/>
      <c r="K6" s="9"/>
    </row>
    <row r="7" spans="1:11" x14ac:dyDescent="0.3">
      <c r="B7" s="10"/>
      <c r="C7" s="10" t="s">
        <v>173</v>
      </c>
      <c r="D7" s="7"/>
      <c r="E7" s="7"/>
      <c r="F7" s="7"/>
      <c r="G7" s="7"/>
      <c r="H7" s="7"/>
      <c r="I7" s="7"/>
      <c r="J7" s="9"/>
      <c r="K7" s="9"/>
    </row>
    <row r="8" spans="1:11" x14ac:dyDescent="0.3">
      <c r="B8" s="10"/>
      <c r="C8" s="10" t="s">
        <v>174</v>
      </c>
      <c r="D8" s="10"/>
      <c r="E8" s="10"/>
      <c r="F8" s="10"/>
      <c r="G8" s="10"/>
      <c r="H8" s="10"/>
      <c r="I8" s="10"/>
      <c r="J8" s="9"/>
      <c r="K8" s="9"/>
    </row>
    <row r="9" spans="1:11" x14ac:dyDescent="0.3">
      <c r="B9" s="10"/>
      <c r="C9" s="10"/>
      <c r="D9" s="10"/>
      <c r="E9" s="10"/>
      <c r="F9" s="10"/>
      <c r="G9" s="10"/>
      <c r="H9" s="10"/>
      <c r="I9" s="10"/>
      <c r="J9" s="9"/>
      <c r="K9" s="9"/>
    </row>
    <row r="10" spans="1:11" x14ac:dyDescent="0.3">
      <c r="B10" s="10"/>
      <c r="C10" s="10"/>
      <c r="D10" s="10"/>
      <c r="E10" s="10"/>
      <c r="F10" s="10"/>
      <c r="G10" s="10"/>
      <c r="H10" s="10"/>
      <c r="I10" s="10"/>
    </row>
    <row r="11" spans="1:11" s="10" customFormat="1" x14ac:dyDescent="0.3">
      <c r="A11" s="7">
        <v>6</v>
      </c>
      <c r="C11" s="7" t="s">
        <v>112</v>
      </c>
    </row>
    <row r="12" spans="1:11" s="10" customFormat="1" x14ac:dyDescent="0.3">
      <c r="A12" s="7"/>
    </row>
    <row r="13" spans="1:11" s="10" customFormat="1" x14ac:dyDescent="0.3">
      <c r="A13" s="7"/>
      <c r="C13" s="2" t="s">
        <v>111</v>
      </c>
      <c r="G13" s="4" t="s">
        <v>115</v>
      </c>
    </row>
    <row r="14" spans="1:11" s="10" customFormat="1" x14ac:dyDescent="0.3">
      <c r="A14" s="7"/>
      <c r="G14" s="4" t="s">
        <v>116</v>
      </c>
    </row>
    <row r="15" spans="1:11" s="10" customFormat="1" x14ac:dyDescent="0.3">
      <c r="A15" s="7"/>
      <c r="G15" s="4"/>
    </row>
    <row r="16" spans="1:11" s="10" customFormat="1" x14ac:dyDescent="0.3">
      <c r="A16" s="7"/>
      <c r="C16" s="10" t="s">
        <v>113</v>
      </c>
      <c r="G16" s="16">
        <v>1814.28</v>
      </c>
    </row>
    <row r="17" spans="1:9" s="10" customFormat="1" x14ac:dyDescent="0.3">
      <c r="A17" s="7"/>
      <c r="C17" s="10" t="s">
        <v>114</v>
      </c>
      <c r="G17" s="16">
        <v>143959.75</v>
      </c>
    </row>
    <row r="18" spans="1:9" s="10" customFormat="1" x14ac:dyDescent="0.3">
      <c r="A18" s="7"/>
      <c r="G18" s="17">
        <f>SUM(G16:G17)</f>
        <v>145774.03</v>
      </c>
    </row>
    <row r="19" spans="1:9" s="10" customFormat="1" x14ac:dyDescent="0.3">
      <c r="A19" s="7"/>
    </row>
    <row r="20" spans="1:9" s="10" customFormat="1" x14ac:dyDescent="0.3">
      <c r="A20" s="7"/>
    </row>
    <row r="21" spans="1:9" s="10" customFormat="1" x14ac:dyDescent="0.3">
      <c r="A21" s="7"/>
      <c r="C21" s="2" t="s">
        <v>105</v>
      </c>
      <c r="E21" s="12" t="s">
        <v>107</v>
      </c>
      <c r="G21" s="12" t="s">
        <v>108</v>
      </c>
      <c r="I21" s="12" t="s">
        <v>109</v>
      </c>
    </row>
    <row r="22" spans="1:9" s="10" customFormat="1" x14ac:dyDescent="0.3">
      <c r="A22" s="7"/>
      <c r="C22" s="12" t="s">
        <v>143</v>
      </c>
      <c r="D22" s="22">
        <v>6.88</v>
      </c>
    </row>
    <row r="23" spans="1:9" s="10" customFormat="1" x14ac:dyDescent="0.3">
      <c r="A23" s="7"/>
    </row>
    <row r="24" spans="1:9" s="10" customFormat="1" x14ac:dyDescent="0.3">
      <c r="A24" s="7"/>
      <c r="C24" s="10" t="s">
        <v>106</v>
      </c>
      <c r="E24" s="11">
        <v>8134</v>
      </c>
      <c r="G24" s="16">
        <v>31885.279999999999</v>
      </c>
      <c r="I24" s="16">
        <v>55961.919999999998</v>
      </c>
    </row>
    <row r="25" spans="1:9" s="10" customFormat="1" x14ac:dyDescent="0.3">
      <c r="A25" s="7"/>
      <c r="C25" s="10" t="s">
        <v>23</v>
      </c>
      <c r="E25" s="10">
        <v>719</v>
      </c>
      <c r="G25" s="16">
        <v>2969.47</v>
      </c>
      <c r="I25" s="16">
        <v>4946.72</v>
      </c>
    </row>
    <row r="26" spans="1:9" s="10" customFormat="1" x14ac:dyDescent="0.3">
      <c r="A26" s="7"/>
      <c r="E26" s="66">
        <v>8853</v>
      </c>
      <c r="G26" s="16"/>
      <c r="I26" s="17">
        <f>SUM(I24:I25)</f>
        <v>60908.639999999999</v>
      </c>
    </row>
    <row r="27" spans="1:9" s="10" customFormat="1" x14ac:dyDescent="0.3">
      <c r="A27" s="7"/>
      <c r="C27" s="2" t="s">
        <v>110</v>
      </c>
      <c r="G27" s="16"/>
      <c r="I27" s="16"/>
    </row>
    <row r="28" spans="1:9" s="10" customFormat="1" x14ac:dyDescent="0.3">
      <c r="A28" s="7"/>
      <c r="C28" s="12" t="s">
        <v>157</v>
      </c>
      <c r="D28" s="23">
        <v>11.39</v>
      </c>
      <c r="G28" s="16"/>
      <c r="I28" s="16"/>
    </row>
    <row r="29" spans="1:9" s="10" customFormat="1" x14ac:dyDescent="0.3">
      <c r="A29" s="7"/>
      <c r="G29" s="16"/>
      <c r="I29" s="16"/>
    </row>
    <row r="30" spans="1:9" s="10" customFormat="1" x14ac:dyDescent="0.3">
      <c r="A30" s="7"/>
      <c r="C30" s="10" t="s">
        <v>106</v>
      </c>
      <c r="E30" s="11">
        <v>2078</v>
      </c>
      <c r="G30" s="16">
        <v>22159.23</v>
      </c>
      <c r="I30" s="16">
        <v>23668.42</v>
      </c>
    </row>
    <row r="31" spans="1:9" s="10" customFormat="1" x14ac:dyDescent="0.3">
      <c r="A31" s="7"/>
      <c r="C31" s="10" t="s">
        <v>23</v>
      </c>
      <c r="E31" s="10">
        <v>80</v>
      </c>
      <c r="G31" s="16">
        <v>851.2</v>
      </c>
      <c r="I31" s="16">
        <v>911.2</v>
      </c>
    </row>
    <row r="32" spans="1:9" s="10" customFormat="1" x14ac:dyDescent="0.3">
      <c r="A32" s="7"/>
      <c r="G32" s="16"/>
      <c r="I32" s="16"/>
    </row>
    <row r="33" spans="1:9" s="10" customFormat="1" x14ac:dyDescent="0.3">
      <c r="A33" s="7"/>
      <c r="G33" s="17">
        <f>G24+G25+G30+G31</f>
        <v>57865.179999999993</v>
      </c>
      <c r="I33" s="17">
        <f>I24+I25+I30+I31</f>
        <v>85488.26</v>
      </c>
    </row>
    <row r="34" spans="1:9" s="10" customFormat="1" x14ac:dyDescent="0.3">
      <c r="A34" s="7"/>
    </row>
    <row r="35" spans="1:9" x14ac:dyDescent="0.3">
      <c r="G35" s="7">
        <v>2025</v>
      </c>
      <c r="I35" s="7">
        <v>2024</v>
      </c>
    </row>
    <row r="37" spans="1:9" x14ac:dyDescent="0.3">
      <c r="A37" s="7">
        <v>7</v>
      </c>
      <c r="C37" s="7" t="s">
        <v>73</v>
      </c>
    </row>
    <row r="39" spans="1:9" x14ac:dyDescent="0.3">
      <c r="D39" t="s">
        <v>74</v>
      </c>
      <c r="G39" s="1">
        <v>470</v>
      </c>
      <c r="H39" s="1"/>
      <c r="I39" s="1">
        <v>612</v>
      </c>
    </row>
    <row r="40" spans="1:9" x14ac:dyDescent="0.3">
      <c r="D40" s="10" t="s">
        <v>154</v>
      </c>
      <c r="G40" s="1">
        <v>575</v>
      </c>
      <c r="H40" s="1"/>
      <c r="I40" s="1">
        <v>0</v>
      </c>
    </row>
    <row r="41" spans="1:9" x14ac:dyDescent="0.3">
      <c r="D41" s="10" t="s">
        <v>155</v>
      </c>
      <c r="G41" s="1">
        <v>130</v>
      </c>
      <c r="H41" s="1"/>
      <c r="I41" s="1">
        <v>0</v>
      </c>
    </row>
    <row r="42" spans="1:9" x14ac:dyDescent="0.3">
      <c r="D42" s="10" t="s">
        <v>156</v>
      </c>
      <c r="G42" s="1">
        <v>324</v>
      </c>
      <c r="H42" s="1"/>
      <c r="I42" s="1">
        <v>0</v>
      </c>
    </row>
    <row r="43" spans="1:9" x14ac:dyDescent="0.3">
      <c r="D43" s="10" t="s">
        <v>104</v>
      </c>
      <c r="G43" s="1">
        <v>0</v>
      </c>
      <c r="I43" s="1">
        <v>417</v>
      </c>
    </row>
    <row r="44" spans="1:9" ht="13.5" thickBot="1" x14ac:dyDescent="0.35">
      <c r="G44" s="13">
        <f>SUM(G39:G43)</f>
        <v>1499</v>
      </c>
      <c r="I44" s="13">
        <f>SUM(I39:I43)</f>
        <v>1029</v>
      </c>
    </row>
    <row r="45" spans="1:9" ht="13.5" thickTop="1" x14ac:dyDescent="0.3"/>
  </sheetData>
  <phoneticPr fontId="6" type="noConversion"/>
  <pageMargins left="0.51181102362204722" right="0.31496062992125984" top="0.74803149606299213" bottom="0.74803149606299213" header="0.31496062992125984" footer="0.31496062992125984"/>
  <pageSetup paperSize="9" orientation="portrait" horizontalDpi="4294967293" r:id="rId1"/>
  <headerFooter alignWithMargins="0">
    <oddFooter>&amp;C11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1F14C1-B4DE-4A10-AA4C-32CAE256826A}">
  <sheetPr>
    <pageSetUpPr fitToPage="1"/>
  </sheetPr>
  <dimension ref="A1:F24"/>
  <sheetViews>
    <sheetView workbookViewId="0">
      <selection activeCell="F1" sqref="F1"/>
    </sheetView>
  </sheetViews>
  <sheetFormatPr defaultColWidth="8.81640625" defaultRowHeight="12.5" x14ac:dyDescent="0.25"/>
  <cols>
    <col min="1" max="2" width="8.81640625" style="10"/>
    <col min="3" max="3" width="44.1796875" style="10" customWidth="1"/>
    <col min="4" max="6" width="8.81640625" style="10"/>
    <col min="7" max="7" width="9.26953125" style="10" customWidth="1"/>
    <col min="8" max="16384" width="8.81640625" style="10"/>
  </cols>
  <sheetData>
    <row r="1" spans="1:6" ht="13" x14ac:dyDescent="0.3">
      <c r="B1" s="5"/>
    </row>
    <row r="4" spans="1:6" ht="13" x14ac:dyDescent="0.3">
      <c r="D4" s="7">
        <v>2025</v>
      </c>
      <c r="E4" s="7"/>
      <c r="F4" s="7">
        <v>2024</v>
      </c>
    </row>
    <row r="6" spans="1:6" x14ac:dyDescent="0.25">
      <c r="A6" s="10">
        <v>8</v>
      </c>
      <c r="C6" s="10" t="s">
        <v>123</v>
      </c>
    </row>
    <row r="8" spans="1:6" x14ac:dyDescent="0.25">
      <c r="C8" s="10" t="s">
        <v>124</v>
      </c>
      <c r="D8" s="11">
        <v>4326</v>
      </c>
      <c r="E8" s="11"/>
      <c r="F8" s="11">
        <v>3994</v>
      </c>
    </row>
    <row r="9" spans="1:6" x14ac:dyDescent="0.25">
      <c r="C9" s="10" t="s">
        <v>125</v>
      </c>
      <c r="D9" s="11">
        <v>0</v>
      </c>
      <c r="F9" s="11">
        <v>0</v>
      </c>
    </row>
    <row r="10" spans="1:6" ht="13" thickBot="1" x14ac:dyDescent="0.3">
      <c r="D10" s="45">
        <f>SUM(D8:D9)</f>
        <v>4326</v>
      </c>
      <c r="F10" s="45">
        <f>SUM(F8:F9)</f>
        <v>3994</v>
      </c>
    </row>
    <row r="11" spans="1:6" ht="13" thickTop="1" x14ac:dyDescent="0.25"/>
    <row r="13" spans="1:6" ht="13" x14ac:dyDescent="0.3">
      <c r="D13" s="7">
        <v>2025</v>
      </c>
      <c r="E13" s="7"/>
      <c r="F13" s="7">
        <v>2024</v>
      </c>
    </row>
    <row r="14" spans="1:6" x14ac:dyDescent="0.25">
      <c r="A14" s="10">
        <v>9</v>
      </c>
      <c r="C14" s="10" t="s">
        <v>126</v>
      </c>
      <c r="D14" s="4" t="s">
        <v>4</v>
      </c>
      <c r="F14" s="4" t="s">
        <v>4</v>
      </c>
    </row>
    <row r="16" spans="1:6" x14ac:dyDescent="0.25">
      <c r="C16" s="10" t="s">
        <v>158</v>
      </c>
      <c r="D16" s="11">
        <v>80350</v>
      </c>
      <c r="F16" s="10">
        <v>0</v>
      </c>
    </row>
    <row r="17" spans="3:6" x14ac:dyDescent="0.25">
      <c r="D17" s="11"/>
    </row>
    <row r="18" spans="3:6" x14ac:dyDescent="0.25">
      <c r="C18" s="10" t="s">
        <v>127</v>
      </c>
      <c r="D18" s="11">
        <v>0</v>
      </c>
      <c r="F18" s="11">
        <v>78452</v>
      </c>
    </row>
    <row r="19" spans="3:6" x14ac:dyDescent="0.25">
      <c r="D19" s="11"/>
      <c r="F19" s="11"/>
    </row>
    <row r="20" spans="3:6" x14ac:dyDescent="0.25">
      <c r="C20" s="10" t="s">
        <v>128</v>
      </c>
      <c r="D20" s="11">
        <v>5138</v>
      </c>
      <c r="F20" s="11">
        <v>1898</v>
      </c>
    </row>
    <row r="21" spans="3:6" x14ac:dyDescent="0.25">
      <c r="D21" s="11"/>
    </row>
    <row r="22" spans="3:6" ht="13" thickBot="1" x14ac:dyDescent="0.3">
      <c r="C22" s="10" t="s">
        <v>144</v>
      </c>
      <c r="D22" s="45">
        <f>D16+D18+D20</f>
        <v>85488</v>
      </c>
      <c r="F22" s="45">
        <f>SUM(F18:F20)</f>
        <v>80350</v>
      </c>
    </row>
    <row r="23" spans="3:6" ht="13" thickTop="1" x14ac:dyDescent="0.25">
      <c r="D23" s="11"/>
    </row>
    <row r="24" spans="3:6" x14ac:dyDescent="0.25">
      <c r="D24" s="11"/>
    </row>
  </sheetData>
  <pageMargins left="0.70866141732283472" right="0.70866141732283472" top="0.74803149606299213" bottom="0.74803149606299213" header="0.31496062992125984" footer="0.31496062992125984"/>
  <pageSetup paperSize="9" scale="91" orientation="portrait" horizontalDpi="4294967293" r:id="rId1"/>
  <headerFooter>
    <oddFooter>&amp;C12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55113B-DFC2-472E-93C2-390200A2BB68}">
  <dimension ref="A1"/>
  <sheetViews>
    <sheetView workbookViewId="0"/>
  </sheetViews>
  <sheetFormatPr defaultRowHeight="12.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D04853568B40F4E8366B3070197220F" ma:contentTypeVersion="19" ma:contentTypeDescription="Create a new document." ma:contentTypeScope="" ma:versionID="92e2f34063cad783ae2806e55cede758">
  <xsd:schema xmlns:xsd="http://www.w3.org/2001/XMLSchema" xmlns:xs="http://www.w3.org/2001/XMLSchema" xmlns:p="http://schemas.microsoft.com/office/2006/metadata/properties" xmlns:ns2="0efcb20c-a255-4ef4-a666-2774ba48434a" xmlns:ns3="531408f3-8ac9-4346-8fae-7a8076793e8c" targetNamespace="http://schemas.microsoft.com/office/2006/metadata/properties" ma:root="true" ma:fieldsID="b4ca0a0b40554e6041aa1af748586c6c" ns2:_="" ns3:_="">
    <xsd:import namespace="0efcb20c-a255-4ef4-a666-2774ba48434a"/>
    <xsd:import namespace="531408f3-8ac9-4346-8fae-7a8076793e8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Doc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fcb20c-a255-4ef4-a666-2774ba4843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description="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f9bda7b3-fa30-4866-a047-bdcbe10387d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ocTags" ma:index="26" nillable="true" ma:displayName="DocTags" ma:format="Dropdown" ma:internalName="DocTags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Accounts"/>
                    <xsd:enumeration value="External Scrutiny Report"/>
                    <xsd:enumeration value="Trustee Annual Report"/>
                    <xsd:enumeration value="Other"/>
                  </xsd:restriction>
                </xsd:simple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1408f3-8ac9-4346-8fae-7a8076793e8c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5928c1bd-2f72-4b7f-b28c-a0ac07293b38}" ma:internalName="TaxCatchAll" ma:showField="CatchAllData" ma:web="531408f3-8ac9-4346-8fae-7a8076793e8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efcb20c-a255-4ef4-a666-2774ba48434a">
      <Terms xmlns="http://schemas.microsoft.com/office/infopath/2007/PartnerControls"/>
    </lcf76f155ced4ddcb4097134ff3c332f>
    <TaxCatchAll xmlns="531408f3-8ac9-4346-8fae-7a8076793e8c" xsi:nil="true"/>
    <DocTags xmlns="0efcb20c-a255-4ef4-a666-2774ba48434a" xsi:nil="true"/>
  </documentManagement>
</p:properties>
</file>

<file path=customXml/itemProps1.xml><?xml version="1.0" encoding="utf-8"?>
<ds:datastoreItem xmlns:ds="http://schemas.openxmlformats.org/officeDocument/2006/customXml" ds:itemID="{A5EFE022-F92A-4A28-85ED-ACBEE3B6C7C6}"/>
</file>

<file path=customXml/itemProps2.xml><?xml version="1.0" encoding="utf-8"?>
<ds:datastoreItem xmlns:ds="http://schemas.openxmlformats.org/officeDocument/2006/customXml" ds:itemID="{7559120F-E107-4F48-B2BD-D356874461AA}"/>
</file>

<file path=customXml/itemProps3.xml><?xml version="1.0" encoding="utf-8"?>
<ds:datastoreItem xmlns:ds="http://schemas.openxmlformats.org/officeDocument/2006/customXml" ds:itemID="{BDD1F433-590B-40E6-9B80-A6B9583806F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4</vt:i4>
      </vt:variant>
    </vt:vector>
  </HeadingPairs>
  <TitlesOfParts>
    <vt:vector size="10" baseType="lpstr">
      <vt:lpstr>Page 8</vt:lpstr>
      <vt:lpstr>Page 9</vt:lpstr>
      <vt:lpstr>Page 10</vt:lpstr>
      <vt:lpstr>Page 11</vt:lpstr>
      <vt:lpstr>Page 12</vt:lpstr>
      <vt:lpstr>Sheet1</vt:lpstr>
      <vt:lpstr>'Page 10'!Print_Area</vt:lpstr>
      <vt:lpstr>'Page 12'!Print_Area</vt:lpstr>
      <vt:lpstr>'Page 8'!Print_Area</vt:lpstr>
      <vt:lpstr>'Page 9'!Print_Area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Rena</dc:creator>
  <cp:keywords/>
  <dc:description/>
  <cp:lastModifiedBy>John Ralfe</cp:lastModifiedBy>
  <cp:revision/>
  <cp:lastPrinted>2026-06-09T05:00:20Z</cp:lastPrinted>
  <dcterms:created xsi:type="dcterms:W3CDTF">2009-09-07T17:55:24Z</dcterms:created>
  <dcterms:modified xsi:type="dcterms:W3CDTF">2026-06-09T05:04:42Z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0x010100CD04853568B40F4E8366B3070197220F</vt:lpwstr>
  </property>
</Properties>
</file>