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d.docs.live.net/2a7c47f6bee91320/Scouts/Treasurer/"/>
    </mc:Choice>
  </mc:AlternateContent>
  <xr:revisionPtr revIDLastSave="19" documentId="8_{E2877470-7F8C-4AD0-A576-22B952EFB57E}" xr6:coauthVersionLast="47" xr6:coauthVersionMax="47" xr10:uidLastSave="{2F90B3CB-4085-4923-A8A9-20BEBF563D40}"/>
  <bookViews>
    <workbookView xWindow="-19290" yWindow="-3500" windowWidth="19380" windowHeight="20970" tabRatio="882" firstSheet="1" activeTab="6" xr2:uid="{00000000-000D-0000-FFFF-FFFF00000000}"/>
  </bookViews>
  <sheets>
    <sheet name="GIFT AID 16  21-22" sheetId="18" state="hidden" r:id="rId1"/>
    <sheet name="Cover" sheetId="25" r:id="rId2"/>
    <sheet name="TAR" sheetId="26" r:id="rId3"/>
    <sheet name="IER" sheetId="21" r:id="rId4"/>
    <sheet name="P &amp; L" sheetId="22" r:id="rId5"/>
    <sheet name="SoB" sheetId="23" r:id="rId6"/>
    <sheet name="2024-2025" sheetId="15" r:id="rId7"/>
    <sheet name="Gift Aid 16 300322" sheetId="11" state="hidden" r:id="rId8"/>
    <sheet name="Gift Aid Form 11 - 300317" sheetId="3" state="hidden" r:id="rId9"/>
    <sheet name="Gift Aid Form 12 300318" sheetId="4" state="hidden" r:id="rId10"/>
    <sheet name="Gift Aid Form 13 300319" sheetId="6" state="hidden" r:id="rId11"/>
    <sheet name="Gift Aid Form 14 300320" sheetId="7" state="hidden" r:id="rId12"/>
    <sheet name="Gift Aid 15 300321" sheetId="10" state="hidden" r:id="rId13"/>
  </sheets>
  <definedNames>
    <definedName name="_xlnm._FilterDatabase" localSheetId="6" hidden="1">'2024-2025'!$A$6:$EU$303</definedName>
    <definedName name="_xlnm.Print_Area" localSheetId="1">Cover!$A$1:$A$42</definedName>
    <definedName name="_xlnm.Print_Area" localSheetId="3">IER!$A$1:$F$28</definedName>
    <definedName name="_xlnm.Print_Area" localSheetId="4">'P &amp; L'!$A$1:$G$43</definedName>
    <definedName name="_xlnm.Print_Area" localSheetId="5">SoB!$A$1:$E$44</definedName>
    <definedName name="_xlnm.Print_Area" localSheetId="2">TAR!$A$1:$E$44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5" i="15" l="1"/>
  <c r="E305" i="15"/>
  <c r="G10" i="22"/>
  <c r="G34" i="22"/>
  <c r="DE8" i="15"/>
  <c r="DE10" i="15"/>
  <c r="DE11" i="15"/>
  <c r="DE14" i="15"/>
  <c r="DE15" i="15"/>
  <c r="DE24" i="15"/>
  <c r="DE29" i="15"/>
  <c r="DE30" i="15"/>
  <c r="DE31" i="15"/>
  <c r="DE32" i="15"/>
  <c r="DE33" i="15"/>
  <c r="DE42" i="15"/>
  <c r="DE43" i="15"/>
  <c r="DE44" i="15"/>
  <c r="DE45" i="15"/>
  <c r="DE46" i="15"/>
  <c r="DE47" i="15"/>
  <c r="DE48" i="15"/>
  <c r="DE49" i="15"/>
  <c r="DE50" i="15"/>
  <c r="DE51" i="15"/>
  <c r="DE52" i="15"/>
  <c r="DE53" i="15"/>
  <c r="DE61" i="15"/>
  <c r="DE62" i="15"/>
  <c r="DE68" i="15"/>
  <c r="DE71" i="15"/>
  <c r="DE73" i="15"/>
  <c r="DE74" i="15"/>
  <c r="DE76" i="15"/>
  <c r="DE78" i="15"/>
  <c r="DE80" i="15"/>
  <c r="DE81" i="15"/>
  <c r="DE83" i="15"/>
  <c r="DE84" i="15"/>
  <c r="DE85" i="15"/>
  <c r="DE86" i="15"/>
  <c r="DE87" i="15"/>
  <c r="DE90" i="15"/>
  <c r="DE91" i="15"/>
  <c r="DE92" i="15"/>
  <c r="DE93" i="15"/>
  <c r="DE94" i="15"/>
  <c r="DE95" i="15"/>
  <c r="DE96" i="15"/>
  <c r="DE97" i="15"/>
  <c r="DE98" i="15"/>
  <c r="DE99" i="15"/>
  <c r="DE100" i="15"/>
  <c r="DE101" i="15"/>
  <c r="DE102" i="15"/>
  <c r="DE103" i="15"/>
  <c r="DE104" i="15"/>
  <c r="DE105" i="15"/>
  <c r="DE106" i="15"/>
  <c r="DE107" i="15"/>
  <c r="DE108" i="15"/>
  <c r="DE110" i="15"/>
  <c r="DE111" i="15"/>
  <c r="DE112" i="15"/>
  <c r="DE114" i="15"/>
  <c r="DE117" i="15"/>
  <c r="DE118" i="15"/>
  <c r="DE121" i="15"/>
  <c r="DE123" i="15"/>
  <c r="DE126" i="15"/>
  <c r="DE134" i="15"/>
  <c r="DE135" i="15"/>
  <c r="DE136" i="15"/>
  <c r="DE137" i="15"/>
  <c r="DE139" i="15"/>
  <c r="DE140" i="15"/>
  <c r="DE141" i="15"/>
  <c r="DE142" i="15"/>
  <c r="DE143" i="15"/>
  <c r="DE144" i="15"/>
  <c r="DE146" i="15"/>
  <c r="DE147" i="15"/>
  <c r="DE148" i="15"/>
  <c r="DE149" i="15"/>
  <c r="DE150" i="15"/>
  <c r="DE151" i="15"/>
  <c r="DE153" i="15"/>
  <c r="DE155" i="15"/>
  <c r="DE156" i="15"/>
  <c r="DE157" i="15"/>
  <c r="DE158" i="15"/>
  <c r="DE159" i="15"/>
  <c r="DE160" i="15"/>
  <c r="DE161" i="15"/>
  <c r="DE163" i="15"/>
  <c r="DE164" i="15"/>
  <c r="DE165" i="15"/>
  <c r="DE166" i="15"/>
  <c r="DE167" i="15"/>
  <c r="DE168" i="15"/>
  <c r="DE169" i="15"/>
  <c r="DE170" i="15"/>
  <c r="DE171" i="15"/>
  <c r="DE172" i="15"/>
  <c r="DE174" i="15"/>
  <c r="DE302" i="15"/>
  <c r="DE7" i="15"/>
  <c r="CQ234" i="15"/>
  <c r="B17" i="23"/>
  <c r="D17" i="23" s="1"/>
  <c r="E26" i="22" l="1"/>
  <c r="G36" i="22" l="1"/>
  <c r="E19" i="23"/>
  <c r="E11" i="23"/>
  <c r="E13" i="23" s="1"/>
  <c r="C11" i="23"/>
  <c r="C13" i="23" s="1"/>
  <c r="B9" i="23"/>
  <c r="B11" i="23" s="1"/>
  <c r="B13" i="23" s="1"/>
  <c r="E36" i="22"/>
  <c r="E19" i="22"/>
  <c r="D9" i="23" l="1"/>
  <c r="D11" i="23" s="1"/>
  <c r="D13" i="23" s="1"/>
  <c r="E38" i="22"/>
  <c r="C18" i="23" s="1"/>
  <c r="C19" i="23" s="1"/>
  <c r="G19" i="22"/>
  <c r="G38" i="22" s="1"/>
  <c r="DC303" i="15" l="1"/>
  <c r="DB303" i="15"/>
  <c r="D33" i="22" s="1"/>
  <c r="F33" i="22" s="1"/>
  <c r="DA303" i="15"/>
  <c r="D29" i="22" s="1"/>
  <c r="F29" i="22" s="1"/>
  <c r="CZ303" i="15"/>
  <c r="D31" i="22" s="1"/>
  <c r="F31" i="22" s="1"/>
  <c r="CY303" i="15"/>
  <c r="CW303" i="15"/>
  <c r="CV303" i="15"/>
  <c r="CU303" i="15"/>
  <c r="CS303" i="15"/>
  <c r="CR303" i="15"/>
  <c r="CO303" i="15"/>
  <c r="CN303" i="15"/>
  <c r="D30" i="22" s="1"/>
  <c r="F30" i="22" s="1"/>
  <c r="CL303" i="15"/>
  <c r="CJ303" i="15"/>
  <c r="CH303" i="15"/>
  <c r="CF303" i="15"/>
  <c r="CE303" i="15"/>
  <c r="CD303" i="15"/>
  <c r="CC303" i="15"/>
  <c r="BY301" i="15"/>
  <c r="DE301" i="15" s="1"/>
  <c r="BZ300" i="15"/>
  <c r="DD299" i="15"/>
  <c r="DD296" i="15"/>
  <c r="CX295" i="15"/>
  <c r="DD294" i="15"/>
  <c r="CT291" i="15"/>
  <c r="CT303" i="15" s="1"/>
  <c r="BZ293" i="15"/>
  <c r="BZ292" i="15"/>
  <c r="BZ290" i="15"/>
  <c r="CM13" i="15"/>
  <c r="CM303" i="15" l="1"/>
  <c r="D23" i="22"/>
  <c r="F17" i="22"/>
  <c r="BZ289" i="15"/>
  <c r="BZ286" i="15"/>
  <c r="BZ285" i="15"/>
  <c r="BZ284" i="15"/>
  <c r="BZ283" i="15"/>
  <c r="BZ282" i="15"/>
  <c r="BZ280" i="15"/>
  <c r="BZ279" i="15"/>
  <c r="BZ278" i="15"/>
  <c r="BZ277" i="15"/>
  <c r="BZ276" i="15"/>
  <c r="BZ275" i="15"/>
  <c r="BZ274" i="15"/>
  <c r="BZ273" i="15"/>
  <c r="BZ272" i="15"/>
  <c r="BZ271" i="15"/>
  <c r="BZ270" i="15"/>
  <c r="BZ269" i="15"/>
  <c r="BZ268" i="15"/>
  <c r="BZ267" i="15"/>
  <c r="BZ266" i="15"/>
  <c r="BZ265" i="15"/>
  <c r="BZ264" i="15"/>
  <c r="BZ263" i="15"/>
  <c r="BZ262" i="15"/>
  <c r="BZ261" i="15"/>
  <c r="BZ260" i="15"/>
  <c r="BZ259" i="15"/>
  <c r="BZ258" i="15"/>
  <c r="BZ257" i="15"/>
  <c r="BZ256" i="15"/>
  <c r="BZ255" i="15"/>
  <c r="BZ254" i="15"/>
  <c r="BZ253" i="15"/>
  <c r="BZ251" i="15"/>
  <c r="BZ250" i="15"/>
  <c r="BZ249" i="15"/>
  <c r="BZ248" i="15"/>
  <c r="BZ247" i="15"/>
  <c r="CQ246" i="15"/>
  <c r="CQ303" i="15" s="1"/>
  <c r="D25" i="22" s="1"/>
  <c r="BZ245" i="15"/>
  <c r="BZ244" i="15"/>
  <c r="BZ243" i="15"/>
  <c r="BZ242" i="15"/>
  <c r="BZ241" i="15"/>
  <c r="BZ240" i="15"/>
  <c r="BZ239" i="15"/>
  <c r="BZ238" i="15"/>
  <c r="BZ237" i="15"/>
  <c r="BZ236" i="15"/>
  <c r="BZ235" i="15"/>
  <c r="CB303" i="15"/>
  <c r="D15" i="22" s="1"/>
  <c r="F15" i="22" s="1"/>
  <c r="BZ231" i="15"/>
  <c r="BZ232" i="15"/>
  <c r="BZ233" i="15"/>
  <c r="BZ12" i="15"/>
  <c r="BY288" i="15"/>
  <c r="DE288" i="15" s="1"/>
  <c r="BY287" i="15"/>
  <c r="DE287" i="15" s="1"/>
  <c r="BY230" i="15"/>
  <c r="DE230" i="15" s="1"/>
  <c r="BY229" i="15"/>
  <c r="DE229" i="15" s="1"/>
  <c r="BY175" i="15"/>
  <c r="DE175" i="15" s="1"/>
  <c r="DD228" i="15"/>
  <c r="CP226" i="15"/>
  <c r="CG225" i="15"/>
  <c r="DD224" i="15"/>
  <c r="CX223" i="15"/>
  <c r="BY222" i="15"/>
  <c r="DE222" i="15" s="1"/>
  <c r="BY221" i="15"/>
  <c r="DE221" i="15" s="1"/>
  <c r="CX220" i="15"/>
  <c r="CG219" i="15"/>
  <c r="BZ217" i="15"/>
  <c r="BZ214" i="15"/>
  <c r="BZ216" i="15"/>
  <c r="CG298" i="15"/>
  <c r="CG297" i="15"/>
  <c r="CG218" i="15"/>
  <c r="CG215" i="15"/>
  <c r="CG213" i="15"/>
  <c r="CG207" i="15"/>
  <c r="CG196" i="15"/>
  <c r="CG179" i="15"/>
  <c r="CP212" i="15"/>
  <c r="CK252" i="15"/>
  <c r="CK227" i="15"/>
  <c r="CK211" i="15"/>
  <c r="BZ208" i="15"/>
  <c r="BZ209" i="15"/>
  <c r="BZ210" i="15"/>
  <c r="BZ206" i="15"/>
  <c r="CI205" i="15"/>
  <c r="CI303" i="15" s="1"/>
  <c r="BZ203" i="15"/>
  <c r="BZ204" i="15"/>
  <c r="BZ202" i="15"/>
  <c r="DD201" i="15"/>
  <c r="BZ180" i="15"/>
  <c r="BZ181" i="15"/>
  <c r="BZ182" i="15"/>
  <c r="BZ183" i="15"/>
  <c r="BZ184" i="15"/>
  <c r="BZ185" i="15"/>
  <c r="BZ186" i="15"/>
  <c r="BZ187" i="15"/>
  <c r="BZ188" i="15"/>
  <c r="BZ189" i="15"/>
  <c r="BZ190" i="15"/>
  <c r="BZ191" i="15"/>
  <c r="BZ192" i="15"/>
  <c r="BZ193" i="15"/>
  <c r="BZ194" i="15"/>
  <c r="BZ195" i="15"/>
  <c r="BZ197" i="15"/>
  <c r="BZ198" i="15"/>
  <c r="BZ199" i="15"/>
  <c r="BZ200" i="15"/>
  <c r="CP178" i="15"/>
  <c r="CP177" i="15"/>
  <c r="CP176" i="15"/>
  <c r="BY300" i="15"/>
  <c r="DE300" i="15" s="1"/>
  <c r="BY299" i="15"/>
  <c r="DE299" i="15" s="1"/>
  <c r="BY298" i="15"/>
  <c r="BY297" i="15"/>
  <c r="BY296" i="15"/>
  <c r="DE296" i="15" s="1"/>
  <c r="BY295" i="15"/>
  <c r="DE295" i="15" s="1"/>
  <c r="BY294" i="15"/>
  <c r="DE294" i="15" s="1"/>
  <c r="BY293" i="15"/>
  <c r="DE293" i="15" s="1"/>
  <c r="BY292" i="15"/>
  <c r="DE292" i="15" s="1"/>
  <c r="BY291" i="15"/>
  <c r="DE291" i="15" s="1"/>
  <c r="BY290" i="15"/>
  <c r="DE290" i="15" s="1"/>
  <c r="BY13" i="15"/>
  <c r="DE13" i="15" s="1"/>
  <c r="BY289" i="15"/>
  <c r="BY286" i="15"/>
  <c r="DE286" i="15" s="1"/>
  <c r="BY285" i="15"/>
  <c r="BY284" i="15"/>
  <c r="DE284" i="15" s="1"/>
  <c r="BY283" i="15"/>
  <c r="DE283" i="15" s="1"/>
  <c r="BY282" i="15"/>
  <c r="DE282" i="15" s="1"/>
  <c r="BY281" i="15"/>
  <c r="DE281" i="15" s="1"/>
  <c r="BY280" i="15"/>
  <c r="BY279" i="15"/>
  <c r="DE279" i="15" s="1"/>
  <c r="BY278" i="15"/>
  <c r="DE278" i="15" s="1"/>
  <c r="BY277" i="15"/>
  <c r="DE277" i="15" s="1"/>
  <c r="BY276" i="15"/>
  <c r="BY275" i="15"/>
  <c r="BY274" i="15"/>
  <c r="DE274" i="15" s="1"/>
  <c r="BY273" i="15"/>
  <c r="DE273" i="15" s="1"/>
  <c r="BY272" i="15"/>
  <c r="BY271" i="15"/>
  <c r="DE271" i="15" s="1"/>
  <c r="BY270" i="15"/>
  <c r="BY269" i="15"/>
  <c r="DE269" i="15" s="1"/>
  <c r="BY268" i="15"/>
  <c r="BY267" i="15"/>
  <c r="DE267" i="15" s="1"/>
  <c r="BY266" i="15"/>
  <c r="DE266" i="15" s="1"/>
  <c r="BY265" i="15"/>
  <c r="DE265" i="15" s="1"/>
  <c r="BY264" i="15"/>
  <c r="BY263" i="15"/>
  <c r="DE263" i="15" s="1"/>
  <c r="BY262" i="15"/>
  <c r="DE262" i="15" s="1"/>
  <c r="BY261" i="15"/>
  <c r="DE261" i="15" s="1"/>
  <c r="BY260" i="15"/>
  <c r="BY259" i="15"/>
  <c r="BY258" i="15"/>
  <c r="DE258" i="15" s="1"/>
  <c r="BY257" i="15"/>
  <c r="DE257" i="15" s="1"/>
  <c r="BY256" i="15"/>
  <c r="BY255" i="15"/>
  <c r="DE255" i="15" s="1"/>
  <c r="BY254" i="15"/>
  <c r="BY253" i="15"/>
  <c r="DE253" i="15" s="1"/>
  <c r="BY252" i="15"/>
  <c r="BY251" i="15"/>
  <c r="BY250" i="15"/>
  <c r="DE250" i="15" s="1"/>
  <c r="BY249" i="15"/>
  <c r="DE249" i="15" s="1"/>
  <c r="BY248" i="15"/>
  <c r="DE248" i="15" s="1"/>
  <c r="BY247" i="15"/>
  <c r="BY246" i="15"/>
  <c r="DE246" i="15" s="1"/>
  <c r="BY245" i="15"/>
  <c r="DE245" i="15" s="1"/>
  <c r="BY244" i="15"/>
  <c r="BY243" i="15"/>
  <c r="BY242" i="15"/>
  <c r="BY241" i="15"/>
  <c r="DE241" i="15" s="1"/>
  <c r="BY240" i="15"/>
  <c r="DE240" i="15" s="1"/>
  <c r="BY239" i="15"/>
  <c r="BY238" i="15"/>
  <c r="DE238" i="15" s="1"/>
  <c r="BY237" i="15"/>
  <c r="DE237" i="15" s="1"/>
  <c r="BY236" i="15"/>
  <c r="DE236" i="15" s="1"/>
  <c r="BY235" i="15"/>
  <c r="BY234" i="15"/>
  <c r="DE234" i="15" s="1"/>
  <c r="BY233" i="15"/>
  <c r="BY232" i="15"/>
  <c r="DE232" i="15" s="1"/>
  <c r="BY231" i="15"/>
  <c r="DE231" i="15" s="1"/>
  <c r="BY12" i="15"/>
  <c r="DE12" i="15" s="1"/>
  <c r="BY228" i="15"/>
  <c r="DE228" i="15" s="1"/>
  <c r="BY227" i="15"/>
  <c r="BY226" i="15"/>
  <c r="BY225" i="15"/>
  <c r="DE225" i="15" s="1"/>
  <c r="BY224" i="15"/>
  <c r="BY223" i="15"/>
  <c r="DE223" i="15" s="1"/>
  <c r="BY220" i="15"/>
  <c r="DE220" i="15" s="1"/>
  <c r="BY219" i="15"/>
  <c r="BY218" i="15"/>
  <c r="BY217" i="15"/>
  <c r="BY216" i="15"/>
  <c r="BY215" i="15"/>
  <c r="DE215" i="15" s="1"/>
  <c r="BY214" i="15"/>
  <c r="DE214" i="15" s="1"/>
  <c r="BY213" i="15"/>
  <c r="DE213" i="15" s="1"/>
  <c r="BY212" i="15"/>
  <c r="DE212" i="15" s="1"/>
  <c r="BY211" i="15"/>
  <c r="DE211" i="15" s="1"/>
  <c r="BY210" i="15"/>
  <c r="DE210" i="15" s="1"/>
  <c r="BY209" i="15"/>
  <c r="BY208" i="15"/>
  <c r="BY207" i="15"/>
  <c r="DE207" i="15" s="1"/>
  <c r="BY206" i="15"/>
  <c r="BY205" i="15"/>
  <c r="BY204" i="15"/>
  <c r="BY203" i="15"/>
  <c r="BY202" i="15"/>
  <c r="DE202" i="15" s="1"/>
  <c r="BY201" i="15"/>
  <c r="DE201" i="15" s="1"/>
  <c r="BY200" i="15"/>
  <c r="DE200" i="15" s="1"/>
  <c r="BY199" i="15"/>
  <c r="DE199" i="15" s="1"/>
  <c r="BY198" i="15"/>
  <c r="DE198" i="15" s="1"/>
  <c r="BY197" i="15"/>
  <c r="BY196" i="15"/>
  <c r="DE196" i="15" s="1"/>
  <c r="BY195" i="15"/>
  <c r="DE195" i="15" s="1"/>
  <c r="BY194" i="15"/>
  <c r="DE194" i="15" s="1"/>
  <c r="BY193" i="15"/>
  <c r="BY192" i="15"/>
  <c r="BY191" i="15"/>
  <c r="BY190" i="15"/>
  <c r="BY189" i="15"/>
  <c r="BY188" i="15"/>
  <c r="BY187" i="15"/>
  <c r="BY186" i="15"/>
  <c r="DE186" i="15" s="1"/>
  <c r="BY185" i="15"/>
  <c r="DE185" i="15" s="1"/>
  <c r="BY184" i="15"/>
  <c r="BY183" i="15"/>
  <c r="DE183" i="15" s="1"/>
  <c r="BY182" i="15"/>
  <c r="DE182" i="15" s="1"/>
  <c r="BY181" i="15"/>
  <c r="DE181" i="15" s="1"/>
  <c r="BY180" i="15"/>
  <c r="BY179" i="15"/>
  <c r="DE179" i="15" s="1"/>
  <c r="BY178" i="15"/>
  <c r="BY177" i="15"/>
  <c r="BY176" i="15"/>
  <c r="DE176" i="15" s="1"/>
  <c r="BY173" i="15"/>
  <c r="DE173" i="15" s="1"/>
  <c r="DE216" i="15" l="1"/>
  <c r="DE218" i="15"/>
  <c r="DE187" i="15"/>
  <c r="DE203" i="15"/>
  <c r="DE219" i="15"/>
  <c r="DE254" i="15"/>
  <c r="DE270" i="15"/>
  <c r="DE204" i="15"/>
  <c r="DE205" i="15"/>
  <c r="DE189" i="15"/>
  <c r="DE190" i="15"/>
  <c r="DE206" i="15"/>
  <c r="DE224" i="15"/>
  <c r="DE298" i="15"/>
  <c r="DE191" i="15"/>
  <c r="DE208" i="15"/>
  <c r="DE259" i="15"/>
  <c r="DE275" i="15"/>
  <c r="DE242" i="15"/>
  <c r="F23" i="22"/>
  <c r="D32" i="22"/>
  <c r="DE177" i="15"/>
  <c r="DE193" i="15"/>
  <c r="DE227" i="15"/>
  <c r="DE244" i="15"/>
  <c r="DE180" i="15"/>
  <c r="DE184" i="15"/>
  <c r="DE188" i="15"/>
  <c r="DE192" i="15"/>
  <c r="DE226" i="15"/>
  <c r="DE235" i="15"/>
  <c r="DE239" i="15"/>
  <c r="DE243" i="15"/>
  <c r="DE247" i="15"/>
  <c r="DE251" i="15"/>
  <c r="DE289" i="15"/>
  <c r="DE252" i="15"/>
  <c r="DE256" i="15"/>
  <c r="DE260" i="15"/>
  <c r="DE264" i="15"/>
  <c r="DE268" i="15"/>
  <c r="DE272" i="15"/>
  <c r="DE276" i="15"/>
  <c r="DE280" i="15"/>
  <c r="DE297" i="15"/>
  <c r="DE197" i="15"/>
  <c r="DE209" i="15"/>
  <c r="DE217" i="15"/>
  <c r="DE178" i="15"/>
  <c r="DE233" i="15"/>
  <c r="DE285" i="15"/>
  <c r="F25" i="22"/>
  <c r="D34" i="22"/>
  <c r="F34" i="22" s="1"/>
  <c r="DD303" i="15"/>
  <c r="CX303" i="15"/>
  <c r="D28" i="22" s="1"/>
  <c r="F28" i="22" s="1"/>
  <c r="BY303" i="15"/>
  <c r="CK303" i="15"/>
  <c r="CG303" i="15"/>
  <c r="D14" i="22" s="1"/>
  <c r="F14" i="22" s="1"/>
  <c r="F162" i="15"/>
  <c r="DE162" i="15" s="1"/>
  <c r="F154" i="15"/>
  <c r="DE154" i="15" s="1"/>
  <c r="F152" i="15"/>
  <c r="DE152" i="15" s="1"/>
  <c r="F132" i="15"/>
  <c r="DE132" i="15" s="1"/>
  <c r="F129" i="15"/>
  <c r="DE129" i="15" s="1"/>
  <c r="F133" i="15"/>
  <c r="DE133" i="15" s="1"/>
  <c r="F130" i="15"/>
  <c r="DE130" i="15" s="1"/>
  <c r="F145" i="15"/>
  <c r="DE145" i="15" s="1"/>
  <c r="F131" i="15"/>
  <c r="DE131" i="15" s="1"/>
  <c r="F128" i="15"/>
  <c r="DE128" i="15" s="1"/>
  <c r="F138" i="15"/>
  <c r="DE138" i="15" s="1"/>
  <c r="F127" i="15"/>
  <c r="DE127" i="15" s="1"/>
  <c r="F125" i="15"/>
  <c r="DE125" i="15" s="1"/>
  <c r="F124" i="15"/>
  <c r="DE124" i="15" s="1"/>
  <c r="F122" i="15"/>
  <c r="DE122" i="15" s="1"/>
  <c r="ES87" i="15"/>
  <c r="ES88" i="15"/>
  <c r="ES86" i="15"/>
  <c r="ES85" i="15"/>
  <c r="ES83" i="15"/>
  <c r="ES121" i="15"/>
  <c r="F120" i="15"/>
  <c r="DE120" i="15" s="1"/>
  <c r="CA119" i="15"/>
  <c r="CA303" i="15" s="1"/>
  <c r="F119" i="15"/>
  <c r="ES106" i="15"/>
  <c r="ES107" i="15"/>
  <c r="ES108" i="15"/>
  <c r="ES109" i="15"/>
  <c r="ES110" i="15"/>
  <c r="ES111" i="15"/>
  <c r="ES112" i="15"/>
  <c r="ES113" i="15"/>
  <c r="ES114" i="15"/>
  <c r="ES115" i="15"/>
  <c r="ES116" i="15"/>
  <c r="ES117" i="15"/>
  <c r="ES118" i="15"/>
  <c r="ES120" i="15"/>
  <c r="ES122" i="15"/>
  <c r="ES123" i="15"/>
  <c r="ES124" i="15"/>
  <c r="ES125" i="15"/>
  <c r="ES126" i="15"/>
  <c r="ES127" i="15"/>
  <c r="ES128" i="15"/>
  <c r="ES129" i="15"/>
  <c r="ES130" i="15"/>
  <c r="ES131" i="15"/>
  <c r="ES132" i="15"/>
  <c r="ES133" i="15"/>
  <c r="ES134" i="15"/>
  <c r="ES135" i="15"/>
  <c r="ES136" i="15"/>
  <c r="ES137" i="15"/>
  <c r="ES138" i="15"/>
  <c r="ES139" i="15"/>
  <c r="ES140" i="15"/>
  <c r="ES141" i="15"/>
  <c r="DL14" i="15"/>
  <c r="DH106" i="15"/>
  <c r="AX106" i="15"/>
  <c r="F116" i="15"/>
  <c r="DE116" i="15" s="1"/>
  <c r="F115" i="15"/>
  <c r="DE115" i="15" s="1"/>
  <c r="F113" i="15"/>
  <c r="DE113" i="15" s="1"/>
  <c r="F109" i="15"/>
  <c r="DE109" i="15" s="1"/>
  <c r="DP97" i="15"/>
  <c r="ER97" i="15" s="1"/>
  <c r="AX97" i="15"/>
  <c r="F89" i="15"/>
  <c r="DE89" i="15" s="1"/>
  <c r="F88" i="15"/>
  <c r="DE88" i="15" s="1"/>
  <c r="F82" i="15"/>
  <c r="DE82" i="15" s="1"/>
  <c r="DP78" i="15"/>
  <c r="ER78" i="15" s="1"/>
  <c r="F79" i="15"/>
  <c r="DE79" i="15" s="1"/>
  <c r="F77" i="15"/>
  <c r="DE77" i="15" s="1"/>
  <c r="F75" i="15"/>
  <c r="DE75" i="15" s="1"/>
  <c r="F72" i="15"/>
  <c r="DE72" i="15" s="1"/>
  <c r="ES63" i="15"/>
  <c r="ES9" i="15"/>
  <c r="ES64" i="15"/>
  <c r="ES65" i="15"/>
  <c r="ES66" i="15"/>
  <c r="ES67" i="15"/>
  <c r="ES68" i="15"/>
  <c r="ES69" i="15"/>
  <c r="ES70" i="15"/>
  <c r="ES71" i="15"/>
  <c r="ES72" i="15"/>
  <c r="ES73" i="15"/>
  <c r="ES74" i="15"/>
  <c r="ES75" i="15"/>
  <c r="ES76" i="15"/>
  <c r="ES77" i="15"/>
  <c r="ES78" i="15"/>
  <c r="ES79" i="15"/>
  <c r="ES80" i="15"/>
  <c r="ES81" i="15"/>
  <c r="ES82" i="15"/>
  <c r="ES84" i="15"/>
  <c r="ES89" i="15"/>
  <c r="ES90" i="15"/>
  <c r="ES91" i="15"/>
  <c r="ES92" i="15"/>
  <c r="ES93" i="15"/>
  <c r="ES94" i="15"/>
  <c r="ES95" i="15"/>
  <c r="ES96" i="15"/>
  <c r="ES97" i="15"/>
  <c r="ES98" i="15"/>
  <c r="ES99" i="15"/>
  <c r="ES100" i="15"/>
  <c r="ES101" i="15"/>
  <c r="ES102" i="15"/>
  <c r="ES103" i="15"/>
  <c r="ES104" i="15"/>
  <c r="ES105" i="15"/>
  <c r="ES142" i="15"/>
  <c r="ES143" i="15"/>
  <c r="ES144" i="15"/>
  <c r="ES145" i="15"/>
  <c r="ES146" i="15"/>
  <c r="ES147" i="15"/>
  <c r="ES148" i="15"/>
  <c r="ES149" i="15"/>
  <c r="ES150" i="15"/>
  <c r="ES151" i="15"/>
  <c r="ES152" i="15"/>
  <c r="ES153" i="15"/>
  <c r="ES154" i="15"/>
  <c r="ES155" i="15"/>
  <c r="ES156" i="15"/>
  <c r="ES157" i="15"/>
  <c r="ES158" i="15"/>
  <c r="ES159" i="15"/>
  <c r="ES10" i="15"/>
  <c r="ES160" i="15"/>
  <c r="ES161" i="15"/>
  <c r="ES162" i="15"/>
  <c r="ES163" i="15"/>
  <c r="ES164" i="15"/>
  <c r="ES165" i="15"/>
  <c r="ES166" i="15"/>
  <c r="ES167" i="15"/>
  <c r="ES168" i="15"/>
  <c r="ES169" i="15"/>
  <c r="ES170" i="15"/>
  <c r="ES171" i="15"/>
  <c r="ES172" i="15"/>
  <c r="ES173" i="15"/>
  <c r="ES174" i="15"/>
  <c r="ES11" i="15"/>
  <c r="ES175" i="15"/>
  <c r="ES176" i="15"/>
  <c r="ES177" i="15"/>
  <c r="ES178" i="15"/>
  <c r="ES179" i="15"/>
  <c r="ES181" i="15"/>
  <c r="ES182" i="15"/>
  <c r="ES183" i="15"/>
  <c r="ES185" i="15"/>
  <c r="ES186" i="15"/>
  <c r="ES187" i="15"/>
  <c r="ES188" i="15"/>
  <c r="ES189" i="15"/>
  <c r="ES190" i="15"/>
  <c r="ES191" i="15"/>
  <c r="ES192" i="15"/>
  <c r="ES193" i="15"/>
  <c r="ES194" i="15"/>
  <c r="ES195" i="15"/>
  <c r="ES196" i="15"/>
  <c r="ES197" i="15"/>
  <c r="ES198" i="15"/>
  <c r="ES199" i="15"/>
  <c r="ES200" i="15"/>
  <c r="ES201" i="15"/>
  <c r="ES202" i="15"/>
  <c r="ES203" i="15"/>
  <c r="ES204" i="15"/>
  <c r="ES205" i="15"/>
  <c r="ES206" i="15"/>
  <c r="ES207" i="15"/>
  <c r="ES208" i="15"/>
  <c r="ES209" i="15"/>
  <c r="ES210" i="15"/>
  <c r="ES211" i="15"/>
  <c r="ES212" i="15"/>
  <c r="ES213" i="15"/>
  <c r="ES214" i="15"/>
  <c r="ES215" i="15"/>
  <c r="ES216" i="15"/>
  <c r="ES217" i="15"/>
  <c r="ES218" i="15"/>
  <c r="ES219" i="15"/>
  <c r="ES220" i="15"/>
  <c r="ES221" i="15"/>
  <c r="ES222" i="15"/>
  <c r="ES223" i="15"/>
  <c r="ES224" i="15"/>
  <c r="ES225" i="15"/>
  <c r="ES226" i="15"/>
  <c r="ES227" i="15"/>
  <c r="ES228" i="15"/>
  <c r="ES229" i="15"/>
  <c r="ES230" i="15"/>
  <c r="ES12" i="15"/>
  <c r="ES231" i="15"/>
  <c r="ES232" i="15"/>
  <c r="ES233" i="15"/>
  <c r="ES234" i="15"/>
  <c r="ES235" i="15"/>
  <c r="ES236" i="15"/>
  <c r="ES237" i="15"/>
  <c r="ES238" i="15"/>
  <c r="ES239" i="15"/>
  <c r="ES240" i="15"/>
  <c r="ES241" i="15"/>
  <c r="ES242" i="15"/>
  <c r="ES243" i="15"/>
  <c r="ES244" i="15"/>
  <c r="ES245" i="15"/>
  <c r="ES246" i="15"/>
  <c r="ES247" i="15"/>
  <c r="ES248" i="15"/>
  <c r="ES249" i="15"/>
  <c r="ES250" i="15"/>
  <c r="ES251" i="15"/>
  <c r="ES252" i="15"/>
  <c r="ES253" i="15"/>
  <c r="ES254" i="15"/>
  <c r="ES255" i="15"/>
  <c r="ES256" i="15"/>
  <c r="ES257" i="15"/>
  <c r="ES258" i="15"/>
  <c r="ES259" i="15"/>
  <c r="ES260" i="15"/>
  <c r="ES261" i="15"/>
  <c r="ES262" i="15"/>
  <c r="ES263" i="15"/>
  <c r="ES264" i="15"/>
  <c r="ES265" i="15"/>
  <c r="ES266" i="15"/>
  <c r="ES267" i="15"/>
  <c r="ES268" i="15"/>
  <c r="ES269" i="15"/>
  <c r="ES270" i="15"/>
  <c r="ES271" i="15"/>
  <c r="ES272" i="15"/>
  <c r="ES273" i="15"/>
  <c r="ES274" i="15"/>
  <c r="ES275" i="15"/>
  <c r="ES276" i="15"/>
  <c r="ES277" i="15"/>
  <c r="ES278" i="15"/>
  <c r="ES279" i="15"/>
  <c r="ES280" i="15"/>
  <c r="ES281" i="15"/>
  <c r="ES282" i="15"/>
  <c r="ES283" i="15"/>
  <c r="ES284" i="15"/>
  <c r="ES285" i="15"/>
  <c r="ES286" i="15"/>
  <c r="ES287" i="15"/>
  <c r="ES288" i="15"/>
  <c r="ES289" i="15"/>
  <c r="ES13" i="15"/>
  <c r="ES290" i="15"/>
  <c r="ES291" i="15"/>
  <c r="ES292" i="15"/>
  <c r="ES293" i="15"/>
  <c r="ES294" i="15"/>
  <c r="ES295" i="15"/>
  <c r="ES296" i="15"/>
  <c r="ES297" i="15"/>
  <c r="ES298" i="15"/>
  <c r="ES299" i="15"/>
  <c r="ES300" i="15"/>
  <c r="ES301" i="15"/>
  <c r="ES302" i="15"/>
  <c r="ER74" i="15"/>
  <c r="ER75" i="15"/>
  <c r="ER76" i="15"/>
  <c r="ER77" i="15"/>
  <c r="ER79" i="15"/>
  <c r="ER80" i="15"/>
  <c r="ER81" i="15"/>
  <c r="ER82" i="15"/>
  <c r="ER83" i="15"/>
  <c r="ER84" i="15"/>
  <c r="ER85" i="15"/>
  <c r="ER86" i="15"/>
  <c r="ER87" i="15"/>
  <c r="ER88" i="15"/>
  <c r="ER89" i="15"/>
  <c r="ER90" i="15"/>
  <c r="ER91" i="15"/>
  <c r="ER92" i="15"/>
  <c r="ER93" i="15"/>
  <c r="ER94" i="15"/>
  <c r="ER95" i="15"/>
  <c r="ER96" i="15"/>
  <c r="ER98" i="15"/>
  <c r="ER99" i="15"/>
  <c r="ER100" i="15"/>
  <c r="ER101" i="15"/>
  <c r="ER102" i="15"/>
  <c r="ER103" i="15"/>
  <c r="ER104" i="15"/>
  <c r="ER105" i="15"/>
  <c r="ER106" i="15"/>
  <c r="ER107" i="15"/>
  <c r="ER108" i="15"/>
  <c r="ER109" i="15"/>
  <c r="ER110" i="15"/>
  <c r="ER111" i="15"/>
  <c r="ER112" i="15"/>
  <c r="ER113" i="15"/>
  <c r="ER114" i="15"/>
  <c r="ER115" i="15"/>
  <c r="ER116" i="15"/>
  <c r="ER117" i="15"/>
  <c r="ER118" i="15"/>
  <c r="ER119" i="15"/>
  <c r="ER120" i="15"/>
  <c r="ER121" i="15"/>
  <c r="ER122" i="15"/>
  <c r="ER123" i="15"/>
  <c r="ER124" i="15"/>
  <c r="ER125" i="15"/>
  <c r="ER126" i="15"/>
  <c r="ER127" i="15"/>
  <c r="ER128" i="15"/>
  <c r="ER129" i="15"/>
  <c r="ER130" i="15"/>
  <c r="ER131" i="15"/>
  <c r="ER132" i="15"/>
  <c r="ER133" i="15"/>
  <c r="ER134" i="15"/>
  <c r="ER135" i="15"/>
  <c r="ER136" i="15"/>
  <c r="ER137" i="15"/>
  <c r="ER138" i="15"/>
  <c r="ER139" i="15"/>
  <c r="ER140" i="15"/>
  <c r="ER141" i="15"/>
  <c r="ER142" i="15"/>
  <c r="ER143" i="15"/>
  <c r="ER144" i="15"/>
  <c r="ER145" i="15"/>
  <c r="ER146" i="15"/>
  <c r="ER147" i="15"/>
  <c r="ER148" i="15"/>
  <c r="ER149" i="15"/>
  <c r="ER150" i="15"/>
  <c r="ER151" i="15"/>
  <c r="ER152" i="15"/>
  <c r="ER153" i="15"/>
  <c r="ER154" i="15"/>
  <c r="ER155" i="15"/>
  <c r="ER156" i="15"/>
  <c r="ER157" i="15"/>
  <c r="ER158" i="15"/>
  <c r="ER159" i="15"/>
  <c r="ER10" i="15"/>
  <c r="ER160" i="15"/>
  <c r="ER161" i="15"/>
  <c r="ER162" i="15"/>
  <c r="ER163" i="15"/>
  <c r="ER164" i="15"/>
  <c r="ER165" i="15"/>
  <c r="ER166" i="15"/>
  <c r="ER167" i="15"/>
  <c r="ER168" i="15"/>
  <c r="ER169" i="15"/>
  <c r="ER170" i="15"/>
  <c r="ER171" i="15"/>
  <c r="ER172" i="15"/>
  <c r="ER173" i="15"/>
  <c r="ER174" i="15"/>
  <c r="ER11" i="15"/>
  <c r="ER175" i="15"/>
  <c r="ER176" i="15"/>
  <c r="ER177" i="15"/>
  <c r="ER178" i="15"/>
  <c r="ER179" i="15"/>
  <c r="ER180" i="15"/>
  <c r="ER181" i="15"/>
  <c r="ER182" i="15"/>
  <c r="ER183" i="15"/>
  <c r="ER184" i="15"/>
  <c r="ER185" i="15"/>
  <c r="ER186" i="15"/>
  <c r="ER187" i="15"/>
  <c r="ER188" i="15"/>
  <c r="ER189" i="15"/>
  <c r="ER190" i="15"/>
  <c r="ER191" i="15"/>
  <c r="ER192" i="15"/>
  <c r="ER193" i="15"/>
  <c r="ER194" i="15"/>
  <c r="ER195" i="15"/>
  <c r="ER196" i="15"/>
  <c r="ER197" i="15"/>
  <c r="ER198" i="15"/>
  <c r="ER199" i="15"/>
  <c r="ER200" i="15"/>
  <c r="ER201" i="15"/>
  <c r="ER202" i="15"/>
  <c r="ER203" i="15"/>
  <c r="ER204" i="15"/>
  <c r="ER205" i="15"/>
  <c r="ER206" i="15"/>
  <c r="ER207" i="15"/>
  <c r="ER208" i="15"/>
  <c r="ER209" i="15"/>
  <c r="ER210" i="15"/>
  <c r="ER211" i="15"/>
  <c r="ER212" i="15"/>
  <c r="ER213" i="15"/>
  <c r="ER214" i="15"/>
  <c r="ER215" i="15"/>
  <c r="ER216" i="15"/>
  <c r="ER217" i="15"/>
  <c r="ER218" i="15"/>
  <c r="ER219" i="15"/>
  <c r="ER220" i="15"/>
  <c r="ER221" i="15"/>
  <c r="ER222" i="15"/>
  <c r="ER223" i="15"/>
  <c r="ER224" i="15"/>
  <c r="ER225" i="15"/>
  <c r="ER226" i="15"/>
  <c r="ER227" i="15"/>
  <c r="ER228" i="15"/>
  <c r="ER229" i="15"/>
  <c r="ER230" i="15"/>
  <c r="ER12" i="15"/>
  <c r="ER231" i="15"/>
  <c r="ER232" i="15"/>
  <c r="ER233" i="15"/>
  <c r="ER234" i="15"/>
  <c r="ER235" i="15"/>
  <c r="ER236" i="15"/>
  <c r="ER237" i="15"/>
  <c r="ER238" i="15"/>
  <c r="ER239" i="15"/>
  <c r="ER240" i="15"/>
  <c r="ER241" i="15"/>
  <c r="ER242" i="15"/>
  <c r="ER243" i="15"/>
  <c r="ER244" i="15"/>
  <c r="ER245" i="15"/>
  <c r="ER246" i="15"/>
  <c r="ER247" i="15"/>
  <c r="ER248" i="15"/>
  <c r="ER249" i="15"/>
  <c r="ER250" i="15"/>
  <c r="ER251" i="15"/>
  <c r="ER252" i="15"/>
  <c r="ER253" i="15"/>
  <c r="ER254" i="15"/>
  <c r="ER255" i="15"/>
  <c r="ER256" i="15"/>
  <c r="ER257" i="15"/>
  <c r="ER258" i="15"/>
  <c r="ER259" i="15"/>
  <c r="ER260" i="15"/>
  <c r="ER261" i="15"/>
  <c r="ER262" i="15"/>
  <c r="ER263" i="15"/>
  <c r="ER264" i="15"/>
  <c r="ER265" i="15"/>
  <c r="ER266" i="15"/>
  <c r="ER267" i="15"/>
  <c r="ER268" i="15"/>
  <c r="ER269" i="15"/>
  <c r="ER270" i="15"/>
  <c r="ER271" i="15"/>
  <c r="ER272" i="15"/>
  <c r="ER273" i="15"/>
  <c r="ER274" i="15"/>
  <c r="ER275" i="15"/>
  <c r="ER276" i="15"/>
  <c r="ER277" i="15"/>
  <c r="ER278" i="15"/>
  <c r="ER279" i="15"/>
  <c r="ER280" i="15"/>
  <c r="ER281" i="15"/>
  <c r="ER282" i="15"/>
  <c r="ER283" i="15"/>
  <c r="ER284" i="15"/>
  <c r="ER285" i="15"/>
  <c r="ER286" i="15"/>
  <c r="ER287" i="15"/>
  <c r="ER288" i="15"/>
  <c r="ER289" i="15"/>
  <c r="ER13" i="15"/>
  <c r="ER290" i="15"/>
  <c r="ER291" i="15"/>
  <c r="ER292" i="15"/>
  <c r="ER293" i="15"/>
  <c r="ER294" i="15"/>
  <c r="ER295" i="15"/>
  <c r="ER296" i="15"/>
  <c r="ER297" i="15"/>
  <c r="ER298" i="15"/>
  <c r="ER299" i="15"/>
  <c r="ER300" i="15"/>
  <c r="ER301" i="15"/>
  <c r="ES36" i="15"/>
  <c r="ES37" i="15"/>
  <c r="ES38" i="15"/>
  <c r="ES39" i="15"/>
  <c r="ES40" i="15"/>
  <c r="ES41" i="15"/>
  <c r="ES42" i="15"/>
  <c r="ES43" i="15"/>
  <c r="ES44" i="15"/>
  <c r="ES45" i="15"/>
  <c r="ES46" i="15"/>
  <c r="ES47" i="15"/>
  <c r="ES48" i="15"/>
  <c r="ES49" i="15"/>
  <c r="ES50" i="15"/>
  <c r="ES51" i="15"/>
  <c r="ES52" i="15"/>
  <c r="ES53" i="15"/>
  <c r="ES54" i="15"/>
  <c r="ES55" i="15"/>
  <c r="ES56" i="15"/>
  <c r="ES57" i="15"/>
  <c r="ES58" i="15"/>
  <c r="ES60" i="15"/>
  <c r="ES61" i="15"/>
  <c r="ES62" i="15"/>
  <c r="EQ31" i="15"/>
  <c r="EQ32" i="15"/>
  <c r="EQ33" i="15"/>
  <c r="EQ34" i="15"/>
  <c r="EQ35" i="15"/>
  <c r="EQ36" i="15"/>
  <c r="EQ37" i="15"/>
  <c r="EQ38" i="15"/>
  <c r="EQ39" i="15"/>
  <c r="EQ40" i="15"/>
  <c r="EQ41" i="15"/>
  <c r="EQ42" i="15"/>
  <c r="EQ43" i="15"/>
  <c r="EQ44" i="15"/>
  <c r="EQ45" i="15"/>
  <c r="EQ46" i="15"/>
  <c r="EQ47" i="15"/>
  <c r="EQ48" i="15"/>
  <c r="EQ49" i="15"/>
  <c r="EQ50" i="15"/>
  <c r="EQ51" i="15"/>
  <c r="EQ52" i="15"/>
  <c r="EQ53" i="15"/>
  <c r="EQ54" i="15"/>
  <c r="EQ55" i="15"/>
  <c r="EQ56" i="15"/>
  <c r="EQ57" i="15"/>
  <c r="EQ58" i="15"/>
  <c r="EQ59" i="15"/>
  <c r="EQ60" i="15"/>
  <c r="EQ61" i="15"/>
  <c r="EQ62" i="15"/>
  <c r="EQ63" i="15"/>
  <c r="EQ9" i="15"/>
  <c r="EQ64" i="15"/>
  <c r="EQ65" i="15"/>
  <c r="EQ66" i="15"/>
  <c r="EQ67" i="15"/>
  <c r="EQ68" i="15"/>
  <c r="EQ69" i="15"/>
  <c r="EQ70" i="15"/>
  <c r="EQ71" i="15"/>
  <c r="EQ72" i="15"/>
  <c r="EQ73" i="15"/>
  <c r="EQ74" i="15"/>
  <c r="EQ75" i="15"/>
  <c r="EQ76" i="15"/>
  <c r="EQ77" i="15"/>
  <c r="EQ78" i="15"/>
  <c r="EQ79" i="15"/>
  <c r="EQ80" i="15"/>
  <c r="EQ81" i="15"/>
  <c r="EQ82" i="15"/>
  <c r="EQ83" i="15"/>
  <c r="EQ84" i="15"/>
  <c r="EQ85" i="15"/>
  <c r="EQ86" i="15"/>
  <c r="EQ87" i="15"/>
  <c r="EQ88" i="15"/>
  <c r="EQ89" i="15"/>
  <c r="EQ90" i="15"/>
  <c r="EQ91" i="15"/>
  <c r="EQ92" i="15"/>
  <c r="EQ93" i="15"/>
  <c r="EQ94" i="15"/>
  <c r="EQ95" i="15"/>
  <c r="EQ96" i="15"/>
  <c r="EQ97" i="15"/>
  <c r="EQ98" i="15"/>
  <c r="EQ99" i="15"/>
  <c r="EQ100" i="15"/>
  <c r="EQ101" i="15"/>
  <c r="EQ102" i="15"/>
  <c r="EQ103" i="15"/>
  <c r="EQ104" i="15"/>
  <c r="EQ105" i="15"/>
  <c r="EQ106" i="15"/>
  <c r="EQ107" i="15"/>
  <c r="EQ108" i="15"/>
  <c r="EQ109" i="15"/>
  <c r="EQ110" i="15"/>
  <c r="EQ111" i="15"/>
  <c r="EQ112" i="15"/>
  <c r="EQ113" i="15"/>
  <c r="EQ114" i="15"/>
  <c r="EQ115" i="15"/>
  <c r="EQ116" i="15"/>
  <c r="EQ117" i="15"/>
  <c r="EQ118" i="15"/>
  <c r="EQ119" i="15"/>
  <c r="EQ120" i="15"/>
  <c r="EQ121" i="15"/>
  <c r="EQ122" i="15"/>
  <c r="EQ123" i="15"/>
  <c r="EQ124" i="15"/>
  <c r="EQ125" i="15"/>
  <c r="EQ126" i="15"/>
  <c r="EQ127" i="15"/>
  <c r="EQ128" i="15"/>
  <c r="EQ129" i="15"/>
  <c r="EQ130" i="15"/>
  <c r="EQ131" i="15"/>
  <c r="EQ132" i="15"/>
  <c r="EQ133" i="15"/>
  <c r="EQ134" i="15"/>
  <c r="EQ135" i="15"/>
  <c r="EQ136" i="15"/>
  <c r="EQ137" i="15"/>
  <c r="EQ138" i="15"/>
  <c r="EQ139" i="15"/>
  <c r="EQ140" i="15"/>
  <c r="EQ141" i="15"/>
  <c r="EQ142" i="15"/>
  <c r="EQ143" i="15"/>
  <c r="EQ144" i="15"/>
  <c r="EQ145" i="15"/>
  <c r="ER35" i="15"/>
  <c r="ER36" i="15"/>
  <c r="ER37" i="15"/>
  <c r="ER38" i="15"/>
  <c r="ER39" i="15"/>
  <c r="ER40" i="15"/>
  <c r="ER41" i="15"/>
  <c r="ER42" i="15"/>
  <c r="ER43" i="15"/>
  <c r="ER44" i="15"/>
  <c r="ER45" i="15"/>
  <c r="ER46" i="15"/>
  <c r="ER47" i="15"/>
  <c r="ER48" i="15"/>
  <c r="ER49" i="15"/>
  <c r="ER50" i="15"/>
  <c r="ER51" i="15"/>
  <c r="ER52" i="15"/>
  <c r="ER53" i="15"/>
  <c r="ER54" i="15"/>
  <c r="ER55" i="15"/>
  <c r="ER56" i="15"/>
  <c r="ER57" i="15"/>
  <c r="ER58" i="15"/>
  <c r="ER59" i="15"/>
  <c r="ER60" i="15"/>
  <c r="ER61" i="15"/>
  <c r="ER62" i="15"/>
  <c r="ER63" i="15"/>
  <c r="ER9" i="15"/>
  <c r="ER64" i="15"/>
  <c r="ER65" i="15"/>
  <c r="ER66" i="15"/>
  <c r="ER67" i="15"/>
  <c r="ER68" i="15"/>
  <c r="ER69" i="15"/>
  <c r="ER70" i="15"/>
  <c r="ER71" i="15"/>
  <c r="ER72" i="15"/>
  <c r="ER73" i="15"/>
  <c r="ES15" i="15"/>
  <c r="ES16" i="15"/>
  <c r="ES17" i="15"/>
  <c r="ES18" i="15"/>
  <c r="ES19" i="15"/>
  <c r="ES20" i="15"/>
  <c r="ES21" i="15"/>
  <c r="ES22" i="15"/>
  <c r="ES23" i="15"/>
  <c r="ES24" i="15"/>
  <c r="ES25" i="15"/>
  <c r="ES26" i="15"/>
  <c r="ES27" i="15"/>
  <c r="ES28" i="15"/>
  <c r="ES29" i="15"/>
  <c r="ES30" i="15"/>
  <c r="ES31" i="15"/>
  <c r="ES32" i="15"/>
  <c r="ES33" i="15"/>
  <c r="ES34" i="15"/>
  <c r="ES35" i="15"/>
  <c r="ES14" i="15"/>
  <c r="ES8" i="15"/>
  <c r="ER15" i="15"/>
  <c r="ER16" i="15"/>
  <c r="ER17" i="15"/>
  <c r="ER18" i="15"/>
  <c r="ER19" i="15"/>
  <c r="ER20" i="15"/>
  <c r="ER21" i="15"/>
  <c r="ER22" i="15"/>
  <c r="ER23" i="15"/>
  <c r="ER24" i="15"/>
  <c r="ER25" i="15"/>
  <c r="ER26" i="15"/>
  <c r="ER27" i="15"/>
  <c r="ER28" i="15"/>
  <c r="ER29" i="15"/>
  <c r="ER30" i="15"/>
  <c r="ER31" i="15"/>
  <c r="ER32" i="15"/>
  <c r="ER33" i="15"/>
  <c r="ER34" i="15"/>
  <c r="ER14" i="15"/>
  <c r="ER8" i="15"/>
  <c r="CP23" i="15"/>
  <c r="DE23" i="15" s="1"/>
  <c r="BZ59" i="15"/>
  <c r="ES59" i="15" s="1"/>
  <c r="BX30" i="15"/>
  <c r="BX31" i="15"/>
  <c r="BX32" i="15"/>
  <c r="BX33" i="15"/>
  <c r="BX42" i="15"/>
  <c r="BX43" i="15"/>
  <c r="BX44" i="15"/>
  <c r="BX45" i="15"/>
  <c r="BX46" i="15"/>
  <c r="BX47" i="15"/>
  <c r="BX48" i="15"/>
  <c r="BX49" i="15"/>
  <c r="BX50" i="15"/>
  <c r="BX51" i="15"/>
  <c r="BX52" i="15"/>
  <c r="BX53" i="15"/>
  <c r="BX61" i="15"/>
  <c r="BX62" i="15"/>
  <c r="AX24" i="15"/>
  <c r="F70" i="15"/>
  <c r="DE70" i="15" s="1"/>
  <c r="F66" i="15"/>
  <c r="F59" i="15"/>
  <c r="F64" i="15"/>
  <c r="F67" i="15"/>
  <c r="F63" i="15"/>
  <c r="F9" i="15"/>
  <c r="F60" i="15"/>
  <c r="F58" i="15"/>
  <c r="F69" i="15"/>
  <c r="DE69" i="15" s="1"/>
  <c r="F65" i="15"/>
  <c r="F57" i="15"/>
  <c r="F56" i="15"/>
  <c r="F55" i="15"/>
  <c r="F54" i="15"/>
  <c r="F41" i="15"/>
  <c r="F40" i="15"/>
  <c r="F39" i="15"/>
  <c r="F38" i="15"/>
  <c r="F37" i="15"/>
  <c r="F36" i="15"/>
  <c r="F35" i="15"/>
  <c r="F34" i="15"/>
  <c r="F28" i="15"/>
  <c r="DE28" i="15" s="1"/>
  <c r="F27" i="15"/>
  <c r="DE27" i="15" s="1"/>
  <c r="BX65" i="15" l="1"/>
  <c r="DE65" i="15"/>
  <c r="BX57" i="15"/>
  <c r="DE57" i="15"/>
  <c r="BX58" i="15"/>
  <c r="DE58" i="15"/>
  <c r="BZ303" i="15"/>
  <c r="BX60" i="15"/>
  <c r="DE60" i="15"/>
  <c r="BX9" i="15"/>
  <c r="DE9" i="15"/>
  <c r="BX63" i="15"/>
  <c r="DE63" i="15"/>
  <c r="BX54" i="15"/>
  <c r="DE54" i="15"/>
  <c r="BX34" i="15"/>
  <c r="DE34" i="15"/>
  <c r="BX35" i="15"/>
  <c r="DE35" i="15"/>
  <c r="BX36" i="15"/>
  <c r="DE36" i="15"/>
  <c r="BX67" i="15"/>
  <c r="DE67" i="15"/>
  <c r="CP303" i="15"/>
  <c r="D26" i="22" s="1"/>
  <c r="F26" i="22" s="1"/>
  <c r="BX64" i="15"/>
  <c r="DE64" i="15"/>
  <c r="BX38" i="15"/>
  <c r="DE38" i="15"/>
  <c r="BX59" i="15"/>
  <c r="DE59" i="15"/>
  <c r="DE119" i="15"/>
  <c r="BX37" i="15"/>
  <c r="DE37" i="15"/>
  <c r="BX66" i="15"/>
  <c r="DE66" i="15"/>
  <c r="BX55" i="15"/>
  <c r="DE55" i="15"/>
  <c r="BX56" i="15"/>
  <c r="DE56" i="15"/>
  <c r="BX40" i="15"/>
  <c r="DE40" i="15"/>
  <c r="BX39" i="15"/>
  <c r="DE39" i="15"/>
  <c r="BX41" i="15"/>
  <c r="DE41" i="15"/>
  <c r="F32" i="22"/>
  <c r="F36" i="22" s="1"/>
  <c r="D12" i="22"/>
  <c r="F12" i="22" s="1"/>
  <c r="ES119" i="15"/>
  <c r="ES184" i="15"/>
  <c r="F26" i="15"/>
  <c r="DE26" i="15" s="1"/>
  <c r="F25" i="15"/>
  <c r="DE25" i="15" s="1"/>
  <c r="F22" i="15"/>
  <c r="DE22" i="15" s="1"/>
  <c r="F21" i="15"/>
  <c r="DE21" i="15" s="1"/>
  <c r="F20" i="15"/>
  <c r="DE20" i="15" s="1"/>
  <c r="F19" i="15"/>
  <c r="DE19" i="15" s="1"/>
  <c r="F18" i="15"/>
  <c r="DE18" i="15" s="1"/>
  <c r="F17" i="15"/>
  <c r="DE17" i="15" s="1"/>
  <c r="F16" i="15"/>
  <c r="DE16" i="15" s="1"/>
  <c r="D10" i="22" l="1"/>
  <c r="F10" i="22" s="1"/>
  <c r="F19" i="22" s="1"/>
  <c r="F38" i="22" s="1"/>
  <c r="ES303" i="15"/>
  <c r="DD304" i="15"/>
  <c r="DE303" i="15"/>
  <c r="CG304" i="15"/>
  <c r="D36" i="22"/>
  <c r="ES180" i="15"/>
  <c r="D19" i="22" l="1"/>
  <c r="D38" i="22"/>
  <c r="B18" i="23" s="1"/>
  <c r="B19" i="23" s="1"/>
  <c r="E99" i="11"/>
  <c r="J76" i="11" s="1"/>
  <c r="L65" i="11"/>
  <c r="D18" i="23" l="1"/>
  <c r="D19" i="23" s="1"/>
  <c r="J81" i="11"/>
  <c r="F85" i="11" l="1"/>
  <c r="N81" i="11"/>
  <c r="E85" i="18" l="1"/>
  <c r="E99" i="18" s="1"/>
  <c r="J76" i="18" s="1"/>
  <c r="J42" i="18"/>
  <c r="J33" i="18"/>
  <c r="J30" i="18"/>
  <c r="J24" i="18"/>
  <c r="J20" i="18"/>
  <c r="L65" i="18" s="1"/>
  <c r="J81" i="18" l="1"/>
  <c r="K84" i="18" l="1"/>
  <c r="N81" i="18"/>
  <c r="F85" i="18"/>
  <c r="E85" i="10"/>
  <c r="E99" i="10" s="1"/>
  <c r="J76" i="10" s="1"/>
  <c r="J30" i="10"/>
  <c r="J42" i="10"/>
  <c r="J20" i="10"/>
  <c r="L65" i="10" s="1"/>
  <c r="J24" i="10"/>
  <c r="J33" i="10"/>
  <c r="J81" i="10" l="1"/>
  <c r="N81" i="10" s="1"/>
  <c r="ER303" i="15"/>
  <c r="EQ303" i="15"/>
  <c r="EP303" i="15"/>
  <c r="BX303" i="15"/>
  <c r="ER302" i="15"/>
  <c r="EQ302" i="15"/>
  <c r="EP302" i="15"/>
  <c r="BX302" i="15"/>
  <c r="EQ301" i="15"/>
  <c r="EP301" i="15"/>
  <c r="BX301" i="15"/>
  <c r="EQ300" i="15"/>
  <c r="EP300" i="15"/>
  <c r="BX300" i="15"/>
  <c r="EQ299" i="15"/>
  <c r="EP299" i="15"/>
  <c r="BX299" i="15"/>
  <c r="EQ298" i="15"/>
  <c r="EP298" i="15"/>
  <c r="BX298" i="15"/>
  <c r="EQ297" i="15"/>
  <c r="EP297" i="15"/>
  <c r="BX297" i="15"/>
  <c r="EQ296" i="15"/>
  <c r="EP296" i="15"/>
  <c r="BX296" i="15"/>
  <c r="EQ295" i="15"/>
  <c r="EP295" i="15"/>
  <c r="BX295" i="15"/>
  <c r="EQ294" i="15"/>
  <c r="EP294" i="15"/>
  <c r="BX294" i="15"/>
  <c r="EQ293" i="15"/>
  <c r="EP293" i="15"/>
  <c r="BX293" i="15"/>
  <c r="EQ292" i="15"/>
  <c r="EP292" i="15"/>
  <c r="BX292" i="15"/>
  <c r="EQ291" i="15"/>
  <c r="EP291" i="15"/>
  <c r="BX291" i="15"/>
  <c r="EQ290" i="15"/>
  <c r="EP290" i="15"/>
  <c r="BX290" i="15"/>
  <c r="EQ13" i="15"/>
  <c r="EP13" i="15"/>
  <c r="BX13" i="15"/>
  <c r="EQ289" i="15"/>
  <c r="EP289" i="15"/>
  <c r="BX289" i="15"/>
  <c r="EQ288" i="15"/>
  <c r="EP288" i="15"/>
  <c r="BX288" i="15"/>
  <c r="EQ287" i="15"/>
  <c r="EP287" i="15"/>
  <c r="BX287" i="15"/>
  <c r="EQ286" i="15"/>
  <c r="EP286" i="15"/>
  <c r="BX286" i="15"/>
  <c r="EQ285" i="15"/>
  <c r="EP285" i="15"/>
  <c r="BX285" i="15"/>
  <c r="EQ284" i="15"/>
  <c r="EP284" i="15"/>
  <c r="BX284" i="15"/>
  <c r="EQ283" i="15"/>
  <c r="EP283" i="15"/>
  <c r="BX283" i="15"/>
  <c r="EQ282" i="15"/>
  <c r="EP282" i="15"/>
  <c r="BX282" i="15"/>
  <c r="EQ281" i="15"/>
  <c r="EP281" i="15"/>
  <c r="BX281" i="15"/>
  <c r="EQ280" i="15"/>
  <c r="EP280" i="15"/>
  <c r="BX280" i="15"/>
  <c r="EQ279" i="15"/>
  <c r="EP279" i="15"/>
  <c r="BX279" i="15"/>
  <c r="EQ278" i="15"/>
  <c r="EP278" i="15"/>
  <c r="BX278" i="15"/>
  <c r="EQ277" i="15"/>
  <c r="EP277" i="15"/>
  <c r="BX277" i="15"/>
  <c r="EQ276" i="15"/>
  <c r="EP276" i="15"/>
  <c r="BX276" i="15"/>
  <c r="EQ275" i="15"/>
  <c r="EP275" i="15"/>
  <c r="BX275" i="15"/>
  <c r="EQ274" i="15"/>
  <c r="EP274" i="15"/>
  <c r="BX274" i="15"/>
  <c r="EQ273" i="15"/>
  <c r="EP273" i="15"/>
  <c r="BX273" i="15"/>
  <c r="EQ272" i="15"/>
  <c r="EP272" i="15"/>
  <c r="BX272" i="15"/>
  <c r="EQ271" i="15"/>
  <c r="EP271" i="15"/>
  <c r="BX271" i="15"/>
  <c r="EQ270" i="15"/>
  <c r="EP270" i="15"/>
  <c r="BX270" i="15"/>
  <c r="EQ269" i="15"/>
  <c r="EP269" i="15"/>
  <c r="BX269" i="15"/>
  <c r="EQ268" i="15"/>
  <c r="EP268" i="15"/>
  <c r="BX268" i="15"/>
  <c r="EQ267" i="15"/>
  <c r="EP267" i="15"/>
  <c r="BX267" i="15"/>
  <c r="EQ266" i="15"/>
  <c r="EP266" i="15"/>
  <c r="BX266" i="15"/>
  <c r="EQ265" i="15"/>
  <c r="EP265" i="15"/>
  <c r="BX265" i="15"/>
  <c r="EQ264" i="15"/>
  <c r="EP264" i="15"/>
  <c r="BX264" i="15"/>
  <c r="EQ263" i="15"/>
  <c r="EP263" i="15"/>
  <c r="BX263" i="15"/>
  <c r="EQ262" i="15"/>
  <c r="EP262" i="15"/>
  <c r="BX262" i="15"/>
  <c r="EQ261" i="15"/>
  <c r="EP261" i="15"/>
  <c r="BX261" i="15"/>
  <c r="EQ260" i="15"/>
  <c r="EP260" i="15"/>
  <c r="BX260" i="15"/>
  <c r="EQ259" i="15"/>
  <c r="EP259" i="15"/>
  <c r="BX259" i="15"/>
  <c r="EQ258" i="15"/>
  <c r="EP258" i="15"/>
  <c r="BX258" i="15"/>
  <c r="EQ257" i="15"/>
  <c r="EP257" i="15"/>
  <c r="BX257" i="15"/>
  <c r="EQ256" i="15"/>
  <c r="EP256" i="15"/>
  <c r="BX256" i="15"/>
  <c r="EQ255" i="15"/>
  <c r="EP255" i="15"/>
  <c r="BX255" i="15"/>
  <c r="EQ254" i="15"/>
  <c r="EP254" i="15"/>
  <c r="BX254" i="15"/>
  <c r="EQ253" i="15"/>
  <c r="EP253" i="15"/>
  <c r="BX253" i="15"/>
  <c r="EQ252" i="15"/>
  <c r="EP252" i="15"/>
  <c r="BX252" i="15"/>
  <c r="EQ251" i="15"/>
  <c r="EP251" i="15"/>
  <c r="BX251" i="15"/>
  <c r="EQ250" i="15"/>
  <c r="EP250" i="15"/>
  <c r="BX250" i="15"/>
  <c r="EQ249" i="15"/>
  <c r="EP249" i="15"/>
  <c r="BX249" i="15"/>
  <c r="EQ248" i="15"/>
  <c r="EP248" i="15"/>
  <c r="BX248" i="15"/>
  <c r="EQ247" i="15"/>
  <c r="EP247" i="15"/>
  <c r="BX247" i="15"/>
  <c r="EQ246" i="15"/>
  <c r="EP246" i="15"/>
  <c r="BX246" i="15"/>
  <c r="EQ245" i="15"/>
  <c r="EP245" i="15"/>
  <c r="BX245" i="15"/>
  <c r="EQ244" i="15"/>
  <c r="EP244" i="15"/>
  <c r="BX244" i="15"/>
  <c r="EQ243" i="15"/>
  <c r="EP243" i="15"/>
  <c r="BX243" i="15"/>
  <c r="EQ242" i="15"/>
  <c r="EP242" i="15"/>
  <c r="BX242" i="15"/>
  <c r="EQ241" i="15"/>
  <c r="EP241" i="15"/>
  <c r="BX241" i="15"/>
  <c r="EQ240" i="15"/>
  <c r="EP240" i="15"/>
  <c r="BX240" i="15"/>
  <c r="EQ239" i="15"/>
  <c r="EP239" i="15"/>
  <c r="BX239" i="15"/>
  <c r="EQ238" i="15"/>
  <c r="EP238" i="15"/>
  <c r="BX238" i="15"/>
  <c r="EQ237" i="15"/>
  <c r="EP237" i="15"/>
  <c r="BX237" i="15"/>
  <c r="EQ236" i="15"/>
  <c r="EP236" i="15"/>
  <c r="BX236" i="15"/>
  <c r="EQ235" i="15"/>
  <c r="EP235" i="15"/>
  <c r="BX235" i="15"/>
  <c r="EQ234" i="15"/>
  <c r="EP234" i="15"/>
  <c r="BX234" i="15"/>
  <c r="EQ233" i="15"/>
  <c r="EP233" i="15"/>
  <c r="BX233" i="15"/>
  <c r="EQ232" i="15"/>
  <c r="EP232" i="15"/>
  <c r="BX232" i="15"/>
  <c r="EQ231" i="15"/>
  <c r="EP231" i="15"/>
  <c r="BX231" i="15"/>
  <c r="EQ12" i="15"/>
  <c r="EP12" i="15"/>
  <c r="BX12" i="15"/>
  <c r="EQ230" i="15"/>
  <c r="EP230" i="15"/>
  <c r="BX230" i="15"/>
  <c r="EQ229" i="15"/>
  <c r="EP229" i="15"/>
  <c r="BX229" i="15"/>
  <c r="EQ228" i="15"/>
  <c r="EP228" i="15"/>
  <c r="BX228" i="15"/>
  <c r="EQ227" i="15"/>
  <c r="EP227" i="15"/>
  <c r="BX227" i="15"/>
  <c r="EQ226" i="15"/>
  <c r="EP226" i="15"/>
  <c r="BX226" i="15"/>
  <c r="EQ225" i="15"/>
  <c r="EP225" i="15"/>
  <c r="BX225" i="15"/>
  <c r="EQ224" i="15"/>
  <c r="EP224" i="15"/>
  <c r="BX224" i="15"/>
  <c r="EQ223" i="15"/>
  <c r="EP223" i="15"/>
  <c r="BX223" i="15"/>
  <c r="EQ222" i="15"/>
  <c r="EP222" i="15"/>
  <c r="BX222" i="15"/>
  <c r="EQ221" i="15"/>
  <c r="EP221" i="15"/>
  <c r="BX221" i="15"/>
  <c r="EQ220" i="15"/>
  <c r="EP220" i="15"/>
  <c r="BX220" i="15"/>
  <c r="EQ219" i="15"/>
  <c r="EP219" i="15"/>
  <c r="BX219" i="15"/>
  <c r="EQ218" i="15"/>
  <c r="EP218" i="15"/>
  <c r="BX218" i="15"/>
  <c r="EQ217" i="15"/>
  <c r="EP217" i="15"/>
  <c r="BX217" i="15"/>
  <c r="EQ216" i="15"/>
  <c r="EP216" i="15"/>
  <c r="BX216" i="15"/>
  <c r="EQ215" i="15"/>
  <c r="EP215" i="15"/>
  <c r="BX215" i="15"/>
  <c r="EQ214" i="15"/>
  <c r="EP214" i="15"/>
  <c r="BX214" i="15"/>
  <c r="EQ213" i="15"/>
  <c r="EP213" i="15"/>
  <c r="BX213" i="15"/>
  <c r="EQ212" i="15"/>
  <c r="EP212" i="15"/>
  <c r="BX212" i="15"/>
  <c r="EQ211" i="15"/>
  <c r="EP211" i="15"/>
  <c r="BX211" i="15"/>
  <c r="EQ210" i="15"/>
  <c r="EP210" i="15"/>
  <c r="BX210" i="15"/>
  <c r="EQ209" i="15"/>
  <c r="EP209" i="15"/>
  <c r="BX209" i="15"/>
  <c r="EQ208" i="15"/>
  <c r="EP208" i="15"/>
  <c r="BX208" i="15"/>
  <c r="EQ207" i="15"/>
  <c r="EP207" i="15"/>
  <c r="BX207" i="15"/>
  <c r="EQ206" i="15"/>
  <c r="EP206" i="15"/>
  <c r="BX206" i="15"/>
  <c r="EQ205" i="15"/>
  <c r="EP205" i="15"/>
  <c r="BX205" i="15"/>
  <c r="EQ204" i="15"/>
  <c r="EP204" i="15"/>
  <c r="BX204" i="15"/>
  <c r="EQ203" i="15"/>
  <c r="EP203" i="15"/>
  <c r="BX203" i="15"/>
  <c r="EQ202" i="15"/>
  <c r="EP202" i="15"/>
  <c r="BX202" i="15"/>
  <c r="EQ201" i="15"/>
  <c r="EP201" i="15"/>
  <c r="BX201" i="15"/>
  <c r="EQ200" i="15"/>
  <c r="EP200" i="15"/>
  <c r="BX200" i="15"/>
  <c r="EQ199" i="15"/>
  <c r="EP199" i="15"/>
  <c r="BX199" i="15"/>
  <c r="EQ198" i="15"/>
  <c r="EP198" i="15"/>
  <c r="BX198" i="15"/>
  <c r="EQ197" i="15"/>
  <c r="EP197" i="15"/>
  <c r="BX197" i="15"/>
  <c r="EQ196" i="15"/>
  <c r="EP196" i="15"/>
  <c r="BX196" i="15"/>
  <c r="EQ195" i="15"/>
  <c r="EP195" i="15"/>
  <c r="BX195" i="15"/>
  <c r="EQ194" i="15"/>
  <c r="EP194" i="15"/>
  <c r="BX194" i="15"/>
  <c r="EQ193" i="15"/>
  <c r="EP193" i="15"/>
  <c r="BX193" i="15"/>
  <c r="EQ192" i="15"/>
  <c r="EP192" i="15"/>
  <c r="BX192" i="15"/>
  <c r="EQ191" i="15"/>
  <c r="EP191" i="15"/>
  <c r="BX191" i="15"/>
  <c r="EQ190" i="15"/>
  <c r="EP190" i="15"/>
  <c r="BX190" i="15"/>
  <c r="EQ189" i="15"/>
  <c r="EP189" i="15"/>
  <c r="BX189" i="15"/>
  <c r="EQ188" i="15"/>
  <c r="EP188" i="15"/>
  <c r="BX188" i="15"/>
  <c r="EQ187" i="15"/>
  <c r="EP187" i="15"/>
  <c r="BX187" i="15"/>
  <c r="EQ186" i="15"/>
  <c r="EP186" i="15"/>
  <c r="BX186" i="15"/>
  <c r="EQ185" i="15"/>
  <c r="EP185" i="15"/>
  <c r="BX185" i="15"/>
  <c r="EQ184" i="15"/>
  <c r="EP184" i="15"/>
  <c r="BX184" i="15"/>
  <c r="EQ183" i="15"/>
  <c r="EP183" i="15"/>
  <c r="BX183" i="15"/>
  <c r="EQ182" i="15"/>
  <c r="EP182" i="15"/>
  <c r="BX182" i="15"/>
  <c r="EQ181" i="15"/>
  <c r="EP181" i="15"/>
  <c r="BX181" i="15"/>
  <c r="EQ180" i="15"/>
  <c r="EP180" i="15"/>
  <c r="BX180" i="15"/>
  <c r="EQ179" i="15"/>
  <c r="EP179" i="15"/>
  <c r="BX179" i="15"/>
  <c r="EQ178" i="15"/>
  <c r="EP178" i="15"/>
  <c r="BX178" i="15"/>
  <c r="EQ177" i="15"/>
  <c r="EP177" i="15"/>
  <c r="BX177" i="15"/>
  <c r="EQ176" i="15"/>
  <c r="EP176" i="15"/>
  <c r="BX176" i="15"/>
  <c r="EQ175" i="15"/>
  <c r="EP175" i="15"/>
  <c r="BX175" i="15"/>
  <c r="EQ11" i="15"/>
  <c r="EP11" i="15"/>
  <c r="BX11" i="15"/>
  <c r="EQ174" i="15"/>
  <c r="EP174" i="15"/>
  <c r="BX174" i="15"/>
  <c r="EQ173" i="15"/>
  <c r="EP173" i="15"/>
  <c r="BX173" i="15"/>
  <c r="EQ172" i="15"/>
  <c r="EP172" i="15"/>
  <c r="BX172" i="15"/>
  <c r="EQ171" i="15"/>
  <c r="EP171" i="15"/>
  <c r="BX171" i="15"/>
  <c r="EQ170" i="15"/>
  <c r="EP170" i="15"/>
  <c r="BX170" i="15"/>
  <c r="EQ169" i="15"/>
  <c r="EP169" i="15"/>
  <c r="BX169" i="15"/>
  <c r="EQ168" i="15"/>
  <c r="EP168" i="15"/>
  <c r="BX168" i="15"/>
  <c r="EQ167" i="15"/>
  <c r="EP167" i="15"/>
  <c r="BX167" i="15"/>
  <c r="EQ166" i="15"/>
  <c r="EP166" i="15"/>
  <c r="BX166" i="15"/>
  <c r="EQ165" i="15"/>
  <c r="EP165" i="15"/>
  <c r="BX165" i="15"/>
  <c r="EQ164" i="15"/>
  <c r="EP164" i="15"/>
  <c r="BX164" i="15"/>
  <c r="EQ163" i="15"/>
  <c r="EP163" i="15"/>
  <c r="BX163" i="15"/>
  <c r="EQ162" i="15"/>
  <c r="EP162" i="15"/>
  <c r="BX162" i="15"/>
  <c r="EQ161" i="15"/>
  <c r="EP161" i="15"/>
  <c r="BX161" i="15"/>
  <c r="EQ160" i="15"/>
  <c r="EP160" i="15"/>
  <c r="BX160" i="15"/>
  <c r="EQ10" i="15"/>
  <c r="EP10" i="15"/>
  <c r="BX10" i="15"/>
  <c r="EQ159" i="15"/>
  <c r="EP159" i="15"/>
  <c r="BX159" i="15"/>
  <c r="EQ158" i="15"/>
  <c r="EP158" i="15"/>
  <c r="BX158" i="15"/>
  <c r="EQ157" i="15"/>
  <c r="EP157" i="15"/>
  <c r="BX157" i="15"/>
  <c r="EQ156" i="15"/>
  <c r="EP156" i="15"/>
  <c r="BX156" i="15"/>
  <c r="EQ155" i="15"/>
  <c r="EP155" i="15"/>
  <c r="BX155" i="15"/>
  <c r="EQ154" i="15"/>
  <c r="EP154" i="15"/>
  <c r="BX154" i="15"/>
  <c r="EQ153" i="15"/>
  <c r="EP153" i="15"/>
  <c r="BX153" i="15"/>
  <c r="EQ152" i="15"/>
  <c r="EP152" i="15"/>
  <c r="BX152" i="15"/>
  <c r="EQ151" i="15"/>
  <c r="EP151" i="15"/>
  <c r="BX151" i="15"/>
  <c r="EQ150" i="15"/>
  <c r="EP150" i="15"/>
  <c r="BX150" i="15"/>
  <c r="EQ149" i="15"/>
  <c r="EP149" i="15"/>
  <c r="BX149" i="15"/>
  <c r="EQ148" i="15"/>
  <c r="EP148" i="15"/>
  <c r="BX148" i="15"/>
  <c r="EQ147" i="15"/>
  <c r="EP147" i="15"/>
  <c r="BX147" i="15"/>
  <c r="EQ146" i="15"/>
  <c r="EP146" i="15"/>
  <c r="BX146" i="15"/>
  <c r="EP145" i="15"/>
  <c r="BX145" i="15"/>
  <c r="EP144" i="15"/>
  <c r="BX144" i="15"/>
  <c r="EP143" i="15"/>
  <c r="BX143" i="15"/>
  <c r="EP142" i="15"/>
  <c r="BX142" i="15"/>
  <c r="EP141" i="15"/>
  <c r="BX141" i="15"/>
  <c r="EP140" i="15"/>
  <c r="BX140" i="15"/>
  <c r="EP139" i="15"/>
  <c r="BX139" i="15"/>
  <c r="EP138" i="15"/>
  <c r="BX138" i="15"/>
  <c r="EP137" i="15"/>
  <c r="BX137" i="15"/>
  <c r="EP136" i="15"/>
  <c r="BX136" i="15"/>
  <c r="EP135" i="15"/>
  <c r="BX135" i="15"/>
  <c r="EP134" i="15"/>
  <c r="BX134" i="15"/>
  <c r="EP133" i="15"/>
  <c r="BX133" i="15"/>
  <c r="EP132" i="15"/>
  <c r="BX132" i="15"/>
  <c r="EP131" i="15"/>
  <c r="BX131" i="15"/>
  <c r="EP130" i="15"/>
  <c r="BX130" i="15"/>
  <c r="EP129" i="15"/>
  <c r="BX129" i="15"/>
  <c r="EP128" i="15"/>
  <c r="BX128" i="15"/>
  <c r="EP127" i="15"/>
  <c r="BX127" i="15"/>
  <c r="EP126" i="15"/>
  <c r="BX126" i="15"/>
  <c r="EP125" i="15"/>
  <c r="BX125" i="15"/>
  <c r="EP124" i="15"/>
  <c r="BX124" i="15"/>
  <c r="EP123" i="15"/>
  <c r="BX123" i="15"/>
  <c r="EP122" i="15"/>
  <c r="BX122" i="15"/>
  <c r="EP121" i="15"/>
  <c r="BX121" i="15"/>
  <c r="EP120" i="15"/>
  <c r="BX120" i="15"/>
  <c r="EP119" i="15"/>
  <c r="BX119" i="15"/>
  <c r="EP118" i="15"/>
  <c r="BX118" i="15"/>
  <c r="EP117" i="15"/>
  <c r="BX117" i="15"/>
  <c r="EP116" i="15"/>
  <c r="BX116" i="15"/>
  <c r="EP115" i="15"/>
  <c r="BX115" i="15"/>
  <c r="EP114" i="15"/>
  <c r="BX114" i="15"/>
  <c r="EP113" i="15"/>
  <c r="BX113" i="15"/>
  <c r="EP112" i="15"/>
  <c r="BX112" i="15"/>
  <c r="EP111" i="15"/>
  <c r="BX111" i="15"/>
  <c r="EP110" i="15"/>
  <c r="BX110" i="15"/>
  <c r="EP109" i="15"/>
  <c r="BX109" i="15"/>
  <c r="EP108" i="15"/>
  <c r="BX108" i="15"/>
  <c r="EP107" i="15"/>
  <c r="BX107" i="15"/>
  <c r="EP106" i="15"/>
  <c r="BX106" i="15"/>
  <c r="EP105" i="15"/>
  <c r="BX105" i="15"/>
  <c r="EP104" i="15"/>
  <c r="BX104" i="15"/>
  <c r="EP103" i="15"/>
  <c r="BX103" i="15"/>
  <c r="EP102" i="15"/>
  <c r="BX102" i="15"/>
  <c r="EP101" i="15"/>
  <c r="BX101" i="15"/>
  <c r="EP100" i="15"/>
  <c r="BX100" i="15"/>
  <c r="EP99" i="15"/>
  <c r="BX99" i="15"/>
  <c r="EP98" i="15"/>
  <c r="BX98" i="15"/>
  <c r="EP97" i="15"/>
  <c r="BX97" i="15"/>
  <c r="EP96" i="15"/>
  <c r="BX96" i="15"/>
  <c r="EP95" i="15"/>
  <c r="BX95" i="15"/>
  <c r="EP94" i="15"/>
  <c r="BX94" i="15"/>
  <c r="EP93" i="15"/>
  <c r="BX93" i="15"/>
  <c r="EP92" i="15"/>
  <c r="BX92" i="15"/>
  <c r="EP91" i="15"/>
  <c r="BX91" i="15"/>
  <c r="EP90" i="15"/>
  <c r="BX90" i="15"/>
  <c r="EP89" i="15"/>
  <c r="BX89" i="15"/>
  <c r="EP88" i="15"/>
  <c r="BX88" i="15"/>
  <c r="EP87" i="15"/>
  <c r="BX87" i="15"/>
  <c r="EP86" i="15"/>
  <c r="BX86" i="15"/>
  <c r="EP85" i="15"/>
  <c r="BX85" i="15"/>
  <c r="EP84" i="15"/>
  <c r="BX84" i="15"/>
  <c r="EP83" i="15"/>
  <c r="BX83" i="15"/>
  <c r="EP82" i="15"/>
  <c r="BX82" i="15"/>
  <c r="EP81" i="15"/>
  <c r="BX81" i="15"/>
  <c r="EP80" i="15"/>
  <c r="BX80" i="15"/>
  <c r="EP79" i="15"/>
  <c r="BX79" i="15"/>
  <c r="EP78" i="15"/>
  <c r="BX78" i="15"/>
  <c r="EP77" i="15"/>
  <c r="BX77" i="15"/>
  <c r="EP76" i="15"/>
  <c r="BX76" i="15"/>
  <c r="EP75" i="15"/>
  <c r="BX75" i="15"/>
  <c r="EP74" i="15"/>
  <c r="BX74" i="15"/>
  <c r="EP73" i="15"/>
  <c r="BX73" i="15"/>
  <c r="EP72" i="15"/>
  <c r="BX72" i="15"/>
  <c r="EP71" i="15"/>
  <c r="BX71" i="15"/>
  <c r="EP70" i="15"/>
  <c r="BX70" i="15"/>
  <c r="EP69" i="15"/>
  <c r="BX69" i="15"/>
  <c r="EP68" i="15"/>
  <c r="BX68" i="15"/>
  <c r="EP67" i="15"/>
  <c r="EP66" i="15"/>
  <c r="EP65" i="15"/>
  <c r="EP64" i="15"/>
  <c r="EP9" i="15"/>
  <c r="EP63" i="15"/>
  <c r="EP62" i="15"/>
  <c r="EP61" i="15"/>
  <c r="EP60" i="15"/>
  <c r="EP59" i="15"/>
  <c r="EP58" i="15"/>
  <c r="EP57" i="15"/>
  <c r="EP56" i="15"/>
  <c r="EP55" i="15"/>
  <c r="EP54" i="15"/>
  <c r="EP53" i="15"/>
  <c r="EP52" i="15"/>
  <c r="EP51" i="15"/>
  <c r="EP50" i="15"/>
  <c r="EP49" i="15"/>
  <c r="EP48" i="15"/>
  <c r="EP47" i="15"/>
  <c r="EP46" i="15"/>
  <c r="EP45" i="15"/>
  <c r="EP44" i="15"/>
  <c r="EP43" i="15"/>
  <c r="EP42" i="15"/>
  <c r="EP41" i="15"/>
  <c r="EP40" i="15"/>
  <c r="EP39" i="15"/>
  <c r="EP38" i="15"/>
  <c r="EP37" i="15"/>
  <c r="EP36" i="15"/>
  <c r="EP35" i="15"/>
  <c r="EP34" i="15"/>
  <c r="EP33" i="15"/>
  <c r="EP32" i="15"/>
  <c r="EP31" i="15"/>
  <c r="EQ30" i="15"/>
  <c r="EP30" i="15"/>
  <c r="EQ29" i="15"/>
  <c r="EP29" i="15"/>
  <c r="BX29" i="15"/>
  <c r="EQ28" i="15"/>
  <c r="EP28" i="15"/>
  <c r="BX28" i="15"/>
  <c r="EQ27" i="15"/>
  <c r="EP27" i="15"/>
  <c r="BX27" i="15"/>
  <c r="EQ26" i="15"/>
  <c r="EP26" i="15"/>
  <c r="BX26" i="15"/>
  <c r="EQ25" i="15"/>
  <c r="EP25" i="15"/>
  <c r="BX25" i="15"/>
  <c r="EQ24" i="15"/>
  <c r="EP24" i="15"/>
  <c r="BX24" i="15"/>
  <c r="EQ23" i="15"/>
  <c r="EP23" i="15"/>
  <c r="BX23" i="15"/>
  <c r="EQ22" i="15"/>
  <c r="EP22" i="15"/>
  <c r="BX22" i="15"/>
  <c r="EQ21" i="15"/>
  <c r="EP21" i="15"/>
  <c r="BX21" i="15"/>
  <c r="EQ20" i="15"/>
  <c r="EP20" i="15"/>
  <c r="BX20" i="15"/>
  <c r="EQ19" i="15"/>
  <c r="EP19" i="15"/>
  <c r="BX19" i="15"/>
  <c r="EQ18" i="15"/>
  <c r="EP18" i="15"/>
  <c r="BX18" i="15"/>
  <c r="EQ17" i="15"/>
  <c r="EP17" i="15"/>
  <c r="BX17" i="15"/>
  <c r="EQ16" i="15"/>
  <c r="EP16" i="15"/>
  <c r="BX16" i="15"/>
  <c r="EQ15" i="15"/>
  <c r="EP15" i="15"/>
  <c r="BX15" i="15"/>
  <c r="EQ14" i="15"/>
  <c r="EP14" i="15"/>
  <c r="BX14" i="15"/>
  <c r="EQ8" i="15"/>
  <c r="EP8" i="15"/>
  <c r="BX8" i="15"/>
  <c r="BX7" i="15"/>
  <c r="BY2" i="15"/>
  <c r="N73" i="6" l="1"/>
  <c r="F85" i="10" l="1"/>
  <c r="D119" i="7" l="1"/>
  <c r="J92" i="7" s="1"/>
  <c r="J81" i="7"/>
  <c r="J97" i="7" l="1"/>
  <c r="N97" i="7" s="1"/>
  <c r="F112" i="3"/>
  <c r="J82" i="6"/>
  <c r="J87" i="6" l="1"/>
  <c r="E93" i="6" l="1"/>
  <c r="M85" i="6"/>
  <c r="J106" i="4"/>
  <c r="M103" i="4" s="1"/>
  <c r="N41" i="4"/>
  <c r="N59" i="4" s="1"/>
  <c r="N122" i="3"/>
  <c r="F102" i="7" l="1"/>
  <c r="L106" i="3"/>
  <c r="J19" i="3"/>
  <c r="J104" i="3" s="1"/>
  <c r="L102" i="3" s="1"/>
  <c r="G8" i="15" l="1"/>
  <c r="DI8" i="15"/>
  <c r="DM8" i="15"/>
  <c r="DQ8" i="15"/>
  <c r="DZ8" i="15"/>
  <c r="ED8" i="15"/>
  <c r="EH8" i="15"/>
  <c r="EL8" i="15"/>
  <c r="DV8" i="15"/>
  <c r="EN8" i="15" l="1"/>
  <c r="EH9" i="15" l="1"/>
  <c r="ED302" i="15" l="1"/>
  <c r="ED303" i="15" l="1"/>
  <c r="EH10" i="15" l="1"/>
  <c r="EH11" i="15" l="1"/>
  <c r="EH12" i="15" l="1"/>
  <c r="EH13" i="15" l="1"/>
  <c r="EH14" i="15" s="1"/>
  <c r="EH15" i="15" s="1"/>
  <c r="EH16" i="15" s="1"/>
  <c r="EH17" i="15" s="1"/>
  <c r="EH18" i="15" s="1"/>
  <c r="EH19" i="15" s="1"/>
  <c r="EH20" i="15" s="1"/>
  <c r="EH21" i="15" s="1"/>
  <c r="EH22" i="15" s="1"/>
  <c r="EH23" i="15" s="1"/>
  <c r="EH24" i="15" s="1"/>
  <c r="EH25" i="15" s="1"/>
  <c r="EH26" i="15" s="1"/>
  <c r="EH27" i="15" s="1"/>
  <c r="EH28" i="15" s="1"/>
  <c r="EH29" i="15" s="1"/>
  <c r="EH30" i="15" s="1"/>
  <c r="EH31" i="15" s="1"/>
  <c r="EH32" i="15" s="1"/>
  <c r="EH33" i="15" s="1"/>
  <c r="EH34" i="15" s="1"/>
  <c r="EH35" i="15" s="1"/>
  <c r="EH36" i="15" s="1"/>
  <c r="EH37" i="15" s="1"/>
  <c r="EH38" i="15" s="1"/>
  <c r="EH39" i="15" s="1"/>
  <c r="EH40" i="15" s="1"/>
  <c r="EH41" i="15" s="1"/>
  <c r="EH42" i="15" s="1"/>
  <c r="EH43" i="15" s="1"/>
  <c r="EH44" i="15" s="1"/>
  <c r="EH45" i="15" s="1"/>
  <c r="EH46" i="15" s="1"/>
  <c r="EH47" i="15" s="1"/>
  <c r="EH48" i="15" s="1"/>
  <c r="EH49" i="15" s="1"/>
  <c r="EH50" i="15" s="1"/>
  <c r="EH51" i="15" s="1"/>
  <c r="EH52" i="15" s="1"/>
  <c r="EH53" i="15" s="1"/>
  <c r="EH54" i="15" s="1"/>
  <c r="EH55" i="15" s="1"/>
  <c r="EH56" i="15" s="1"/>
  <c r="EH57" i="15" s="1"/>
  <c r="EH58" i="15" s="1"/>
  <c r="EH59" i="15" s="1"/>
  <c r="EH60" i="15" s="1"/>
  <c r="EH61" i="15" s="1"/>
  <c r="EH62" i="15" s="1"/>
  <c r="EH63" i="15" s="1"/>
  <c r="EH64" i="15" s="1"/>
  <c r="EH65" i="15" s="1"/>
  <c r="EH66" i="15" s="1"/>
  <c r="EH67" i="15" s="1"/>
  <c r="EH68" i="15" s="1"/>
  <c r="EH69" i="15" s="1"/>
  <c r="EH70" i="15" s="1"/>
  <c r="EH71" i="15" s="1"/>
  <c r="EH72" i="15" s="1"/>
  <c r="EH73" i="15" s="1"/>
  <c r="EH74" i="15" s="1"/>
  <c r="EH75" i="15" s="1"/>
  <c r="EH76" i="15" s="1"/>
  <c r="EH77" i="15" s="1"/>
  <c r="EH78" i="15" s="1"/>
  <c r="EH79" i="15" s="1"/>
  <c r="EH80" i="15" s="1"/>
  <c r="EH81" i="15" s="1"/>
  <c r="EH82" i="15" s="1"/>
  <c r="EH83" i="15" s="1"/>
  <c r="EH84" i="15" s="1"/>
  <c r="EH85" i="15" s="1"/>
  <c r="EH86" i="15" s="1"/>
  <c r="EH87" i="15" s="1"/>
  <c r="EH88" i="15" s="1"/>
  <c r="EH89" i="15" s="1"/>
  <c r="EH90" i="15" s="1"/>
  <c r="EH91" i="15" s="1"/>
  <c r="EH92" i="15" s="1"/>
  <c r="EH93" i="15" s="1"/>
  <c r="EH94" i="15" s="1"/>
  <c r="EH95" i="15" s="1"/>
  <c r="EH96" i="15" s="1"/>
  <c r="EH97" i="15" s="1"/>
  <c r="EH98" i="15" s="1"/>
  <c r="EH99" i="15" s="1"/>
  <c r="EH100" i="15" s="1"/>
  <c r="EH101" i="15" s="1"/>
  <c r="EH102" i="15" s="1"/>
  <c r="EH103" i="15" s="1"/>
  <c r="EH104" i="15" s="1"/>
  <c r="EH105" i="15" s="1"/>
  <c r="EH106" i="15" s="1"/>
  <c r="EH107" i="15" s="1"/>
  <c r="EH108" i="15" s="1"/>
  <c r="EH109" i="15" s="1"/>
  <c r="EH110" i="15" s="1"/>
  <c r="EH111" i="15" s="1"/>
  <c r="EH112" i="15" s="1"/>
  <c r="EH113" i="15" s="1"/>
  <c r="EH114" i="15" s="1"/>
  <c r="EH115" i="15" s="1"/>
  <c r="EH116" i="15" s="1"/>
  <c r="EH117" i="15" s="1"/>
  <c r="EH118" i="15" s="1"/>
  <c r="EH119" i="15" s="1"/>
  <c r="EH120" i="15" s="1"/>
  <c r="EH121" i="15" s="1"/>
  <c r="EH122" i="15" s="1"/>
  <c r="EH123" i="15" s="1"/>
  <c r="EH124" i="15" s="1"/>
  <c r="EH125" i="15" s="1"/>
  <c r="EH126" i="15" s="1"/>
  <c r="EH127" i="15" s="1"/>
  <c r="EH128" i="15" s="1"/>
  <c r="EH129" i="15" s="1"/>
  <c r="EH130" i="15" s="1"/>
  <c r="EH131" i="15" s="1"/>
  <c r="EH132" i="15" s="1"/>
  <c r="EH133" i="15" s="1"/>
  <c r="EH134" i="15" s="1"/>
  <c r="EH135" i="15" s="1"/>
  <c r="EH136" i="15" s="1"/>
  <c r="EH137" i="15" s="1"/>
  <c r="EH138" i="15" s="1"/>
  <c r="EH139" i="15" s="1"/>
  <c r="EH140" i="15" s="1"/>
  <c r="EH141" i="15" s="1"/>
  <c r="EH142" i="15" s="1"/>
  <c r="EH143" i="15" s="1"/>
  <c r="EH144" i="15" s="1"/>
  <c r="EH145" i="15" s="1"/>
  <c r="EH146" i="15" s="1"/>
  <c r="EH147" i="15" s="1"/>
  <c r="EH148" i="15" s="1"/>
  <c r="EH149" i="15" s="1"/>
  <c r="EH150" i="15" s="1"/>
  <c r="EH151" i="15" s="1"/>
  <c r="EH152" i="15" s="1"/>
  <c r="EH153" i="15" s="1"/>
  <c r="EH154" i="15" s="1"/>
  <c r="EH155" i="15" s="1"/>
  <c r="EH156" i="15" s="1"/>
  <c r="EH157" i="15" s="1"/>
  <c r="EH158" i="15" s="1"/>
  <c r="EH159" i="15" s="1"/>
  <c r="EH160" i="15" s="1"/>
  <c r="EH161" i="15" s="1"/>
  <c r="EH162" i="15" s="1"/>
  <c r="EH163" i="15" s="1"/>
  <c r="EH164" i="15" s="1"/>
  <c r="EH165" i="15" s="1"/>
  <c r="EH166" i="15" s="1"/>
  <c r="EH167" i="15" s="1"/>
  <c r="EH168" i="15" s="1"/>
  <c r="EH169" i="15" s="1"/>
  <c r="EH170" i="15" s="1"/>
  <c r="EH171" i="15" s="1"/>
  <c r="EH172" i="15" s="1"/>
  <c r="EH173" i="15" s="1"/>
  <c r="EH174" i="15" s="1"/>
  <c r="EH175" i="15" s="1"/>
  <c r="EH176" i="15" s="1"/>
  <c r="EH177" i="15" s="1"/>
  <c r="EH178" i="15" s="1"/>
  <c r="EH179" i="15" s="1"/>
  <c r="EH180" i="15" s="1"/>
  <c r="EH181" i="15" s="1"/>
  <c r="EH182" i="15" s="1"/>
  <c r="EH183" i="15" s="1"/>
  <c r="EH184" i="15" s="1"/>
  <c r="EH185" i="15" s="1"/>
  <c r="EH186" i="15" s="1"/>
  <c r="EH187" i="15" s="1"/>
  <c r="EH188" i="15" s="1"/>
  <c r="EH189" i="15" s="1"/>
  <c r="EH190" i="15" s="1"/>
  <c r="EH191" i="15" s="1"/>
  <c r="EH192" i="15" s="1"/>
  <c r="EH193" i="15" s="1"/>
  <c r="EH194" i="15" s="1"/>
  <c r="EH195" i="15" s="1"/>
  <c r="EH196" i="15" s="1"/>
  <c r="EH197" i="15" s="1"/>
  <c r="EH198" i="15" s="1"/>
  <c r="EH199" i="15" s="1"/>
  <c r="EH200" i="15" s="1"/>
  <c r="EH201" i="15" s="1"/>
  <c r="EH202" i="15" s="1"/>
  <c r="EH203" i="15" s="1"/>
  <c r="EH204" i="15" s="1"/>
  <c r="EH205" i="15" s="1"/>
  <c r="EH206" i="15" s="1"/>
  <c r="EH207" i="15" s="1"/>
  <c r="EH208" i="15" s="1"/>
  <c r="EH209" i="15" s="1"/>
  <c r="EH210" i="15" s="1"/>
  <c r="EH211" i="15" s="1"/>
  <c r="EH212" i="15" s="1"/>
  <c r="EH213" i="15" s="1"/>
  <c r="EH214" i="15" s="1"/>
  <c r="EH215" i="15" s="1"/>
  <c r="EH216" i="15" s="1"/>
  <c r="EH217" i="15" s="1"/>
  <c r="EH218" i="15" s="1"/>
  <c r="EH219" i="15" s="1"/>
  <c r="EH220" i="15" s="1"/>
  <c r="EH221" i="15" s="1"/>
  <c r="EH222" i="15" s="1"/>
  <c r="EH223" i="15" s="1"/>
  <c r="EH224" i="15" s="1"/>
  <c r="EH225" i="15" s="1"/>
  <c r="EH226" i="15" s="1"/>
  <c r="EH227" i="15" s="1"/>
  <c r="EH228" i="15" s="1"/>
  <c r="EH229" i="15" s="1"/>
  <c r="EH230" i="15" s="1"/>
  <c r="EH231" i="15" s="1"/>
  <c r="EH232" i="15" s="1"/>
  <c r="EH233" i="15" s="1"/>
  <c r="EH234" i="15" s="1"/>
  <c r="EH235" i="15" s="1"/>
  <c r="EH236" i="15" s="1"/>
  <c r="EH237" i="15" s="1"/>
  <c r="EH238" i="15" s="1"/>
  <c r="EH239" i="15" s="1"/>
  <c r="EH240" i="15" s="1"/>
  <c r="EH241" i="15" s="1"/>
  <c r="EH242" i="15" s="1"/>
  <c r="EH243" i="15" s="1"/>
  <c r="EH244" i="15" s="1"/>
  <c r="EH245" i="15" s="1"/>
  <c r="EH246" i="15" s="1"/>
  <c r="EH247" i="15" s="1"/>
  <c r="EH248" i="15" s="1"/>
  <c r="EH249" i="15" s="1"/>
  <c r="EH250" i="15" s="1"/>
  <c r="EH251" i="15" s="1"/>
  <c r="EH252" i="15" s="1"/>
  <c r="EH253" i="15" s="1"/>
  <c r="EH254" i="15" s="1"/>
  <c r="EH255" i="15" s="1"/>
  <c r="EH256" i="15" s="1"/>
  <c r="EH257" i="15" s="1"/>
  <c r="EH258" i="15" s="1"/>
  <c r="EH259" i="15" s="1"/>
  <c r="EH260" i="15" s="1"/>
  <c r="EH261" i="15" s="1"/>
  <c r="EH262" i="15" s="1"/>
  <c r="EH263" i="15" s="1"/>
  <c r="EH264" i="15" s="1"/>
  <c r="EH265" i="15" s="1"/>
  <c r="EH266" i="15" s="1"/>
  <c r="EH267" i="15" s="1"/>
  <c r="EH268" i="15" s="1"/>
  <c r="EH269" i="15" s="1"/>
  <c r="EH270" i="15" s="1"/>
  <c r="EH271" i="15" s="1"/>
  <c r="EH272" i="15" s="1"/>
  <c r="EH273" i="15" s="1"/>
  <c r="EH274" i="15" s="1"/>
  <c r="EH275" i="15" s="1"/>
  <c r="EH276" i="15" s="1"/>
  <c r="EH277" i="15" s="1"/>
  <c r="EH278" i="15" s="1"/>
  <c r="EH279" i="15" s="1"/>
  <c r="EH280" i="15" s="1"/>
  <c r="EH281" i="15" s="1"/>
  <c r="EH282" i="15" s="1"/>
  <c r="EH283" i="15" s="1"/>
  <c r="EH284" i="15" s="1"/>
  <c r="EH285" i="15" s="1"/>
  <c r="EH286" i="15" s="1"/>
  <c r="EH287" i="15" s="1"/>
  <c r="EH288" i="15" s="1"/>
  <c r="EH289" i="15" s="1"/>
  <c r="EH290" i="15" l="1"/>
  <c r="EH291" i="15" l="1"/>
  <c r="EH292" i="15" l="1"/>
  <c r="EH293" i="15" l="1"/>
  <c r="EH294" i="15" l="1"/>
  <c r="EH295" i="15" l="1"/>
  <c r="EH296" i="15" l="1"/>
  <c r="EH297" i="15" l="1"/>
  <c r="EH298" i="15" l="1"/>
  <c r="EH299" i="15" l="1"/>
  <c r="EH300" i="15" l="1"/>
  <c r="EH301" i="15" l="1"/>
  <c r="EH302" i="15" l="1"/>
  <c r="EH303" i="15" l="1"/>
  <c r="G9" i="15"/>
  <c r="G10" i="15" s="1"/>
  <c r="G11" i="15" s="1"/>
  <c r="DI302" i="15"/>
  <c r="DI303" i="15" s="1"/>
  <c r="DM302" i="15"/>
  <c r="DM303" i="15" s="1"/>
  <c r="DQ302" i="15"/>
  <c r="DQ303" i="15" s="1"/>
  <c r="DZ302" i="15"/>
  <c r="DZ303" i="15" s="1"/>
  <c r="EL302" i="15"/>
  <c r="EL303" i="15" s="1"/>
  <c r="DI9" i="15"/>
  <c r="DI10" i="15" s="1"/>
  <c r="DI11" i="15" s="1"/>
  <c r="DI12" i="15" s="1"/>
  <c r="DI13" i="15" s="1"/>
  <c r="DI14" i="15" s="1"/>
  <c r="DI15" i="15" s="1"/>
  <c r="DI16" i="15" s="1"/>
  <c r="DI17" i="15" s="1"/>
  <c r="DI18" i="15" s="1"/>
  <c r="DI19" i="15" s="1"/>
  <c r="DI20" i="15" s="1"/>
  <c r="DI21" i="15" s="1"/>
  <c r="DI22" i="15" s="1"/>
  <c r="DI23" i="15" s="1"/>
  <c r="DI24" i="15" s="1"/>
  <c r="DI25" i="15" s="1"/>
  <c r="DI26" i="15" s="1"/>
  <c r="DI27" i="15" s="1"/>
  <c r="DI28" i="15" s="1"/>
  <c r="DI29" i="15" s="1"/>
  <c r="DI30" i="15" s="1"/>
  <c r="DI31" i="15" s="1"/>
  <c r="DI32" i="15" s="1"/>
  <c r="DI33" i="15" s="1"/>
  <c r="DI34" i="15" s="1"/>
  <c r="DI35" i="15" s="1"/>
  <c r="DI36" i="15" s="1"/>
  <c r="DI37" i="15" s="1"/>
  <c r="DI38" i="15" s="1"/>
  <c r="DI39" i="15" s="1"/>
  <c r="DI40" i="15" s="1"/>
  <c r="DI41" i="15" s="1"/>
  <c r="DI42" i="15" s="1"/>
  <c r="DI43" i="15" s="1"/>
  <c r="DI44" i="15" s="1"/>
  <c r="DI45" i="15" s="1"/>
  <c r="DI46" i="15" s="1"/>
  <c r="DI47" i="15" s="1"/>
  <c r="DI48" i="15" s="1"/>
  <c r="DI49" i="15" s="1"/>
  <c r="DI50" i="15" s="1"/>
  <c r="DI51" i="15" s="1"/>
  <c r="DI52" i="15" s="1"/>
  <c r="DI53" i="15" s="1"/>
  <c r="DI54" i="15" s="1"/>
  <c r="DI55" i="15" s="1"/>
  <c r="DI56" i="15" s="1"/>
  <c r="DI57" i="15" s="1"/>
  <c r="DI58" i="15" s="1"/>
  <c r="DI59" i="15" s="1"/>
  <c r="DI60" i="15" s="1"/>
  <c r="DI61" i="15" s="1"/>
  <c r="DI62" i="15" s="1"/>
  <c r="DI63" i="15" s="1"/>
  <c r="DI64" i="15" s="1"/>
  <c r="DI65" i="15" s="1"/>
  <c r="DI66" i="15" s="1"/>
  <c r="DI67" i="15" s="1"/>
  <c r="DI68" i="15" s="1"/>
  <c r="DI69" i="15" s="1"/>
  <c r="DI70" i="15" s="1"/>
  <c r="DI71" i="15" s="1"/>
  <c r="DI72" i="15" s="1"/>
  <c r="DI73" i="15" s="1"/>
  <c r="DI74" i="15" s="1"/>
  <c r="DI75" i="15" s="1"/>
  <c r="DI76" i="15" s="1"/>
  <c r="DI77" i="15" s="1"/>
  <c r="DI78" i="15" s="1"/>
  <c r="DI79" i="15" s="1"/>
  <c r="DI80" i="15" s="1"/>
  <c r="DI81" i="15" s="1"/>
  <c r="DI82" i="15" s="1"/>
  <c r="DI83" i="15" s="1"/>
  <c r="DI84" i="15" s="1"/>
  <c r="DI85" i="15" s="1"/>
  <c r="DI86" i="15" s="1"/>
  <c r="DI87" i="15" s="1"/>
  <c r="DI88" i="15" s="1"/>
  <c r="DI89" i="15" s="1"/>
  <c r="DI90" i="15" s="1"/>
  <c r="DI91" i="15" s="1"/>
  <c r="DI92" i="15" s="1"/>
  <c r="DI93" i="15" s="1"/>
  <c r="DI94" i="15" s="1"/>
  <c r="DI95" i="15" s="1"/>
  <c r="DI96" i="15" s="1"/>
  <c r="DI97" i="15" s="1"/>
  <c r="DI98" i="15" s="1"/>
  <c r="DI99" i="15" s="1"/>
  <c r="DI100" i="15" s="1"/>
  <c r="DI101" i="15" s="1"/>
  <c r="DI102" i="15" s="1"/>
  <c r="DI103" i="15" s="1"/>
  <c r="DI104" i="15" s="1"/>
  <c r="DI105" i="15" s="1"/>
  <c r="DI106" i="15" s="1"/>
  <c r="DI107" i="15" s="1"/>
  <c r="DI108" i="15" s="1"/>
  <c r="DI109" i="15" s="1"/>
  <c r="DI110" i="15" s="1"/>
  <c r="DI111" i="15" s="1"/>
  <c r="DI112" i="15" s="1"/>
  <c r="DI113" i="15" s="1"/>
  <c r="DI114" i="15" s="1"/>
  <c r="DI115" i="15" s="1"/>
  <c r="DI116" i="15" s="1"/>
  <c r="DI117" i="15" s="1"/>
  <c r="DI118" i="15" s="1"/>
  <c r="DI119" i="15" s="1"/>
  <c r="DI120" i="15" s="1"/>
  <c r="DI121" i="15" s="1"/>
  <c r="DI122" i="15" s="1"/>
  <c r="DI123" i="15" s="1"/>
  <c r="DI124" i="15" s="1"/>
  <c r="DI125" i="15" s="1"/>
  <c r="DI126" i="15" s="1"/>
  <c r="DI127" i="15" s="1"/>
  <c r="DI128" i="15" s="1"/>
  <c r="DI129" i="15" s="1"/>
  <c r="DI130" i="15" s="1"/>
  <c r="DI131" i="15" s="1"/>
  <c r="DI132" i="15" s="1"/>
  <c r="DI133" i="15" s="1"/>
  <c r="DI134" i="15" s="1"/>
  <c r="DI135" i="15" s="1"/>
  <c r="DI136" i="15" s="1"/>
  <c r="DI137" i="15" s="1"/>
  <c r="DI138" i="15" s="1"/>
  <c r="DI139" i="15" s="1"/>
  <c r="DI140" i="15" s="1"/>
  <c r="DI141" i="15" s="1"/>
  <c r="DI142" i="15" s="1"/>
  <c r="DI143" i="15" s="1"/>
  <c r="DI144" i="15" s="1"/>
  <c r="DI145" i="15" s="1"/>
  <c r="DI146" i="15" s="1"/>
  <c r="DI147" i="15" s="1"/>
  <c r="DI148" i="15" s="1"/>
  <c r="DI149" i="15" s="1"/>
  <c r="DI150" i="15" s="1"/>
  <c r="DI151" i="15" s="1"/>
  <c r="DI152" i="15" s="1"/>
  <c r="DI153" i="15" s="1"/>
  <c r="DI154" i="15" s="1"/>
  <c r="DI155" i="15" s="1"/>
  <c r="DI156" i="15" s="1"/>
  <c r="DI157" i="15" s="1"/>
  <c r="DI158" i="15" s="1"/>
  <c r="DI159" i="15" s="1"/>
  <c r="DI160" i="15" s="1"/>
  <c r="DI161" i="15" s="1"/>
  <c r="DI162" i="15" s="1"/>
  <c r="DI163" i="15" s="1"/>
  <c r="DI164" i="15" s="1"/>
  <c r="DI165" i="15" s="1"/>
  <c r="DI166" i="15" s="1"/>
  <c r="DI167" i="15" s="1"/>
  <c r="DI168" i="15" s="1"/>
  <c r="DI169" i="15" s="1"/>
  <c r="DI170" i="15" s="1"/>
  <c r="DI171" i="15" s="1"/>
  <c r="DI172" i="15" s="1"/>
  <c r="DI173" i="15" s="1"/>
  <c r="DI174" i="15" s="1"/>
  <c r="DI175" i="15" s="1"/>
  <c r="DI176" i="15" s="1"/>
  <c r="DI177" i="15" s="1"/>
  <c r="DI178" i="15" s="1"/>
  <c r="DI179" i="15" s="1"/>
  <c r="DI180" i="15" s="1"/>
  <c r="DI181" i="15" s="1"/>
  <c r="DI182" i="15" s="1"/>
  <c r="DI183" i="15" s="1"/>
  <c r="DI184" i="15" s="1"/>
  <c r="DI185" i="15" s="1"/>
  <c r="DI186" i="15" s="1"/>
  <c r="DI187" i="15" s="1"/>
  <c r="DI188" i="15" s="1"/>
  <c r="DI189" i="15" s="1"/>
  <c r="DI190" i="15" s="1"/>
  <c r="DI191" i="15" s="1"/>
  <c r="DI192" i="15" s="1"/>
  <c r="DI193" i="15" s="1"/>
  <c r="DI194" i="15" s="1"/>
  <c r="DI195" i="15" s="1"/>
  <c r="DI196" i="15" s="1"/>
  <c r="DI197" i="15" s="1"/>
  <c r="DI198" i="15" s="1"/>
  <c r="DI199" i="15" s="1"/>
  <c r="DI200" i="15" s="1"/>
  <c r="DI201" i="15" s="1"/>
  <c r="DI202" i="15" s="1"/>
  <c r="DI203" i="15" s="1"/>
  <c r="DI204" i="15" s="1"/>
  <c r="DI205" i="15" s="1"/>
  <c r="DI206" i="15" s="1"/>
  <c r="DI207" i="15" s="1"/>
  <c r="DI208" i="15" s="1"/>
  <c r="DI209" i="15" s="1"/>
  <c r="DI210" i="15" s="1"/>
  <c r="DI211" i="15" s="1"/>
  <c r="DI212" i="15" s="1"/>
  <c r="DI213" i="15" s="1"/>
  <c r="DI214" i="15" s="1"/>
  <c r="DI215" i="15" s="1"/>
  <c r="DI216" i="15" s="1"/>
  <c r="DI217" i="15" s="1"/>
  <c r="DI218" i="15" s="1"/>
  <c r="DI219" i="15" s="1"/>
  <c r="DI220" i="15" s="1"/>
  <c r="DI221" i="15" s="1"/>
  <c r="DI222" i="15" s="1"/>
  <c r="DI223" i="15" s="1"/>
  <c r="DI224" i="15" s="1"/>
  <c r="DI225" i="15" s="1"/>
  <c r="DI226" i="15" s="1"/>
  <c r="DI227" i="15" s="1"/>
  <c r="DI228" i="15" s="1"/>
  <c r="DI229" i="15" s="1"/>
  <c r="DI230" i="15" s="1"/>
  <c r="DI231" i="15" s="1"/>
  <c r="DI232" i="15" s="1"/>
  <c r="DI233" i="15" s="1"/>
  <c r="DI234" i="15" s="1"/>
  <c r="DI235" i="15" s="1"/>
  <c r="DI236" i="15" s="1"/>
  <c r="DI237" i="15" s="1"/>
  <c r="DI238" i="15" s="1"/>
  <c r="DI239" i="15" s="1"/>
  <c r="DI240" i="15" s="1"/>
  <c r="DI241" i="15" s="1"/>
  <c r="DI242" i="15" s="1"/>
  <c r="DI243" i="15" s="1"/>
  <c r="DI244" i="15" s="1"/>
  <c r="DI245" i="15" s="1"/>
  <c r="DI246" i="15" s="1"/>
  <c r="DI247" i="15" s="1"/>
  <c r="DI248" i="15" s="1"/>
  <c r="DI249" i="15" s="1"/>
  <c r="DI250" i="15" s="1"/>
  <c r="DI251" i="15" s="1"/>
  <c r="DI252" i="15" s="1"/>
  <c r="DI253" i="15" s="1"/>
  <c r="DI254" i="15" s="1"/>
  <c r="DI255" i="15" s="1"/>
  <c r="DI256" i="15" s="1"/>
  <c r="DI257" i="15" s="1"/>
  <c r="DI258" i="15" s="1"/>
  <c r="DI259" i="15" s="1"/>
  <c r="DI260" i="15" s="1"/>
  <c r="DI261" i="15" s="1"/>
  <c r="DI262" i="15" s="1"/>
  <c r="DI263" i="15" s="1"/>
  <c r="DI264" i="15" s="1"/>
  <c r="DI265" i="15" s="1"/>
  <c r="DI266" i="15" s="1"/>
  <c r="DI267" i="15" s="1"/>
  <c r="DI268" i="15" s="1"/>
  <c r="DI269" i="15" s="1"/>
  <c r="DI270" i="15" s="1"/>
  <c r="DI271" i="15" s="1"/>
  <c r="DI272" i="15" s="1"/>
  <c r="DI273" i="15" s="1"/>
  <c r="DI274" i="15" s="1"/>
  <c r="DI275" i="15" s="1"/>
  <c r="DI276" i="15" s="1"/>
  <c r="DI277" i="15" s="1"/>
  <c r="DI278" i="15" s="1"/>
  <c r="DI279" i="15" s="1"/>
  <c r="DI280" i="15" s="1"/>
  <c r="DI281" i="15" s="1"/>
  <c r="DI282" i="15" s="1"/>
  <c r="DI283" i="15" s="1"/>
  <c r="DI284" i="15" s="1"/>
  <c r="DI285" i="15" s="1"/>
  <c r="DI286" i="15" s="1"/>
  <c r="DI287" i="15" s="1"/>
  <c r="DI288" i="15" s="1"/>
  <c r="DI289" i="15" s="1"/>
  <c r="DI290" i="15" s="1"/>
  <c r="DI291" i="15" s="1"/>
  <c r="DI292" i="15" s="1"/>
  <c r="DI293" i="15" s="1"/>
  <c r="DI294" i="15" s="1"/>
  <c r="DI295" i="15" s="1"/>
  <c r="DI296" i="15" s="1"/>
  <c r="DI297" i="15" s="1"/>
  <c r="DI298" i="15" s="1"/>
  <c r="DI299" i="15" s="1"/>
  <c r="DI300" i="15" s="1"/>
  <c r="DI301" i="15" s="1"/>
  <c r="DM9" i="15"/>
  <c r="DM10" i="15" s="1"/>
  <c r="DM11" i="15" s="1"/>
  <c r="DM12" i="15" s="1"/>
  <c r="DM13" i="15" s="1"/>
  <c r="DM14" i="15" s="1"/>
  <c r="DM15" i="15" s="1"/>
  <c r="DM16" i="15" s="1"/>
  <c r="DM17" i="15" s="1"/>
  <c r="DM18" i="15" s="1"/>
  <c r="DM19" i="15" s="1"/>
  <c r="DM20" i="15" s="1"/>
  <c r="DM21" i="15" s="1"/>
  <c r="DM22" i="15" s="1"/>
  <c r="DM23" i="15" s="1"/>
  <c r="DM24" i="15" s="1"/>
  <c r="DM25" i="15" s="1"/>
  <c r="DM26" i="15" s="1"/>
  <c r="DM27" i="15" s="1"/>
  <c r="DM28" i="15" s="1"/>
  <c r="DM29" i="15" s="1"/>
  <c r="DM30" i="15" s="1"/>
  <c r="DM31" i="15" s="1"/>
  <c r="DM32" i="15" s="1"/>
  <c r="DM33" i="15" s="1"/>
  <c r="DM34" i="15" s="1"/>
  <c r="DM35" i="15" s="1"/>
  <c r="DM36" i="15" s="1"/>
  <c r="DM37" i="15" s="1"/>
  <c r="DM38" i="15" s="1"/>
  <c r="DM39" i="15" s="1"/>
  <c r="DM40" i="15" s="1"/>
  <c r="DM41" i="15" s="1"/>
  <c r="DM42" i="15" s="1"/>
  <c r="DM43" i="15" s="1"/>
  <c r="DM44" i="15" s="1"/>
  <c r="DM45" i="15" s="1"/>
  <c r="DM46" i="15" s="1"/>
  <c r="DM47" i="15" s="1"/>
  <c r="DM48" i="15" s="1"/>
  <c r="DM49" i="15" s="1"/>
  <c r="DM50" i="15" s="1"/>
  <c r="DM51" i="15" s="1"/>
  <c r="DM52" i="15" s="1"/>
  <c r="DM53" i="15" s="1"/>
  <c r="DM54" i="15" s="1"/>
  <c r="DM55" i="15" s="1"/>
  <c r="DM56" i="15" s="1"/>
  <c r="DM57" i="15" s="1"/>
  <c r="DM58" i="15" s="1"/>
  <c r="DM59" i="15" s="1"/>
  <c r="DM60" i="15" s="1"/>
  <c r="DM61" i="15" s="1"/>
  <c r="DM62" i="15" s="1"/>
  <c r="DM63" i="15" s="1"/>
  <c r="DM64" i="15" s="1"/>
  <c r="DM65" i="15" s="1"/>
  <c r="DM66" i="15" s="1"/>
  <c r="DM67" i="15" s="1"/>
  <c r="DM68" i="15" s="1"/>
  <c r="DM69" i="15" s="1"/>
  <c r="DM70" i="15" s="1"/>
  <c r="DM71" i="15" s="1"/>
  <c r="DM72" i="15" s="1"/>
  <c r="DM73" i="15" s="1"/>
  <c r="DM74" i="15" s="1"/>
  <c r="DM75" i="15" s="1"/>
  <c r="DM76" i="15" s="1"/>
  <c r="DM77" i="15" s="1"/>
  <c r="DM78" i="15" s="1"/>
  <c r="DM79" i="15" s="1"/>
  <c r="DM80" i="15" s="1"/>
  <c r="DM81" i="15" s="1"/>
  <c r="DM82" i="15" s="1"/>
  <c r="DM83" i="15" s="1"/>
  <c r="DM84" i="15" s="1"/>
  <c r="DM85" i="15" s="1"/>
  <c r="DM86" i="15" s="1"/>
  <c r="DM87" i="15" s="1"/>
  <c r="DM88" i="15" s="1"/>
  <c r="DM89" i="15" s="1"/>
  <c r="DM90" i="15" s="1"/>
  <c r="DM91" i="15" s="1"/>
  <c r="DM92" i="15" s="1"/>
  <c r="DM93" i="15" s="1"/>
  <c r="DM94" i="15" s="1"/>
  <c r="DM95" i="15" s="1"/>
  <c r="DM96" i="15" s="1"/>
  <c r="DM97" i="15" s="1"/>
  <c r="DM98" i="15" s="1"/>
  <c r="DM99" i="15" s="1"/>
  <c r="DM100" i="15" s="1"/>
  <c r="DM101" i="15" s="1"/>
  <c r="DM102" i="15" s="1"/>
  <c r="DM103" i="15" s="1"/>
  <c r="DM104" i="15" s="1"/>
  <c r="DM105" i="15" s="1"/>
  <c r="DM106" i="15" s="1"/>
  <c r="DM107" i="15" s="1"/>
  <c r="DM108" i="15" s="1"/>
  <c r="DM109" i="15" s="1"/>
  <c r="DM110" i="15" s="1"/>
  <c r="DM111" i="15" s="1"/>
  <c r="DM112" i="15" s="1"/>
  <c r="DM113" i="15" s="1"/>
  <c r="DM114" i="15" s="1"/>
  <c r="DM115" i="15" s="1"/>
  <c r="DM116" i="15" s="1"/>
  <c r="DM117" i="15" s="1"/>
  <c r="DM118" i="15" s="1"/>
  <c r="DM119" i="15" s="1"/>
  <c r="DM120" i="15" s="1"/>
  <c r="DM121" i="15" s="1"/>
  <c r="DM122" i="15" s="1"/>
  <c r="DM123" i="15" s="1"/>
  <c r="DM124" i="15" s="1"/>
  <c r="DM125" i="15" s="1"/>
  <c r="DM126" i="15" s="1"/>
  <c r="DM127" i="15" s="1"/>
  <c r="DM128" i="15" s="1"/>
  <c r="DM129" i="15" s="1"/>
  <c r="DM130" i="15" s="1"/>
  <c r="DM131" i="15" s="1"/>
  <c r="DM132" i="15" s="1"/>
  <c r="DM133" i="15" s="1"/>
  <c r="DM134" i="15" s="1"/>
  <c r="DM135" i="15" s="1"/>
  <c r="DM136" i="15" s="1"/>
  <c r="DM137" i="15" s="1"/>
  <c r="DM138" i="15" s="1"/>
  <c r="DM139" i="15" s="1"/>
  <c r="DM140" i="15" s="1"/>
  <c r="DM141" i="15" s="1"/>
  <c r="DM142" i="15" s="1"/>
  <c r="DM143" i="15" s="1"/>
  <c r="DM144" i="15" s="1"/>
  <c r="DM145" i="15" s="1"/>
  <c r="DM146" i="15" s="1"/>
  <c r="DM147" i="15" s="1"/>
  <c r="DM148" i="15" s="1"/>
  <c r="DM149" i="15" s="1"/>
  <c r="DM150" i="15" s="1"/>
  <c r="DM151" i="15" s="1"/>
  <c r="DM152" i="15" s="1"/>
  <c r="DM153" i="15" s="1"/>
  <c r="DM154" i="15" s="1"/>
  <c r="DM155" i="15" s="1"/>
  <c r="DM156" i="15" s="1"/>
  <c r="DM157" i="15" s="1"/>
  <c r="DM158" i="15" s="1"/>
  <c r="DM159" i="15" s="1"/>
  <c r="DM160" i="15" s="1"/>
  <c r="DM161" i="15" s="1"/>
  <c r="DM162" i="15" s="1"/>
  <c r="DM163" i="15" s="1"/>
  <c r="DM164" i="15" s="1"/>
  <c r="DM165" i="15" s="1"/>
  <c r="DM166" i="15" s="1"/>
  <c r="DM167" i="15" s="1"/>
  <c r="DM168" i="15" s="1"/>
  <c r="DM169" i="15" s="1"/>
  <c r="DM170" i="15" s="1"/>
  <c r="DM171" i="15" s="1"/>
  <c r="DM172" i="15" s="1"/>
  <c r="DM173" i="15" s="1"/>
  <c r="DM174" i="15" s="1"/>
  <c r="DM175" i="15" s="1"/>
  <c r="DM176" i="15" s="1"/>
  <c r="DM177" i="15" s="1"/>
  <c r="DM178" i="15" s="1"/>
  <c r="DM179" i="15" s="1"/>
  <c r="DM180" i="15" s="1"/>
  <c r="DM181" i="15" s="1"/>
  <c r="DM182" i="15" s="1"/>
  <c r="DM183" i="15" s="1"/>
  <c r="DM184" i="15" s="1"/>
  <c r="DM185" i="15" s="1"/>
  <c r="DM186" i="15" s="1"/>
  <c r="DM187" i="15" s="1"/>
  <c r="DM188" i="15" s="1"/>
  <c r="DM189" i="15" s="1"/>
  <c r="DM190" i="15" s="1"/>
  <c r="DM191" i="15" s="1"/>
  <c r="DM192" i="15" s="1"/>
  <c r="DM193" i="15" s="1"/>
  <c r="DM194" i="15" s="1"/>
  <c r="DM195" i="15" s="1"/>
  <c r="DM196" i="15" s="1"/>
  <c r="DM197" i="15" s="1"/>
  <c r="DM198" i="15" s="1"/>
  <c r="DM199" i="15" s="1"/>
  <c r="DM200" i="15" s="1"/>
  <c r="DM201" i="15" s="1"/>
  <c r="DM202" i="15" s="1"/>
  <c r="DM203" i="15" s="1"/>
  <c r="DM204" i="15" s="1"/>
  <c r="DM205" i="15" s="1"/>
  <c r="DM206" i="15" s="1"/>
  <c r="DM207" i="15" s="1"/>
  <c r="DM208" i="15" s="1"/>
  <c r="DM209" i="15" s="1"/>
  <c r="DM210" i="15" s="1"/>
  <c r="DM211" i="15" s="1"/>
  <c r="DM212" i="15" s="1"/>
  <c r="DM213" i="15" s="1"/>
  <c r="DM214" i="15" s="1"/>
  <c r="DM215" i="15" s="1"/>
  <c r="DM216" i="15" s="1"/>
  <c r="DM217" i="15" s="1"/>
  <c r="DM218" i="15" s="1"/>
  <c r="DM219" i="15" s="1"/>
  <c r="DM220" i="15" s="1"/>
  <c r="DM221" i="15" s="1"/>
  <c r="DM222" i="15" s="1"/>
  <c r="DM223" i="15" s="1"/>
  <c r="DM224" i="15" s="1"/>
  <c r="DM225" i="15" s="1"/>
  <c r="DM226" i="15" s="1"/>
  <c r="DM227" i="15" s="1"/>
  <c r="DM228" i="15" s="1"/>
  <c r="DM229" i="15" s="1"/>
  <c r="DM230" i="15" s="1"/>
  <c r="DM231" i="15" s="1"/>
  <c r="DM232" i="15" s="1"/>
  <c r="DM233" i="15" s="1"/>
  <c r="DM234" i="15" s="1"/>
  <c r="DM235" i="15" s="1"/>
  <c r="DM236" i="15" s="1"/>
  <c r="DM237" i="15" s="1"/>
  <c r="DM238" i="15" s="1"/>
  <c r="DM239" i="15" s="1"/>
  <c r="DM240" i="15" s="1"/>
  <c r="DM241" i="15" s="1"/>
  <c r="DM242" i="15" s="1"/>
  <c r="DM243" i="15" s="1"/>
  <c r="DM244" i="15" s="1"/>
  <c r="DM245" i="15" s="1"/>
  <c r="DM246" i="15" s="1"/>
  <c r="DM247" i="15" s="1"/>
  <c r="DM248" i="15" s="1"/>
  <c r="DM249" i="15" s="1"/>
  <c r="DM250" i="15" s="1"/>
  <c r="DM251" i="15" s="1"/>
  <c r="DM252" i="15" s="1"/>
  <c r="DM253" i="15" s="1"/>
  <c r="DM254" i="15" s="1"/>
  <c r="DM255" i="15" s="1"/>
  <c r="DM256" i="15" s="1"/>
  <c r="DM257" i="15" s="1"/>
  <c r="DM258" i="15" s="1"/>
  <c r="DM259" i="15" s="1"/>
  <c r="DM260" i="15" s="1"/>
  <c r="DM261" i="15" s="1"/>
  <c r="DM262" i="15" s="1"/>
  <c r="DM263" i="15" s="1"/>
  <c r="DM264" i="15" s="1"/>
  <c r="DM265" i="15" s="1"/>
  <c r="DM266" i="15" s="1"/>
  <c r="DM267" i="15" s="1"/>
  <c r="DM268" i="15" s="1"/>
  <c r="DM269" i="15" s="1"/>
  <c r="DM270" i="15" s="1"/>
  <c r="DM271" i="15" s="1"/>
  <c r="DM272" i="15" s="1"/>
  <c r="DM273" i="15" s="1"/>
  <c r="DM274" i="15" s="1"/>
  <c r="DM275" i="15" s="1"/>
  <c r="DM276" i="15" s="1"/>
  <c r="DM277" i="15" s="1"/>
  <c r="DM278" i="15" s="1"/>
  <c r="DM279" i="15" s="1"/>
  <c r="DM280" i="15" s="1"/>
  <c r="DM281" i="15" s="1"/>
  <c r="DM282" i="15" s="1"/>
  <c r="DM283" i="15" s="1"/>
  <c r="DM284" i="15" s="1"/>
  <c r="DM285" i="15" s="1"/>
  <c r="DM286" i="15" s="1"/>
  <c r="DM287" i="15" s="1"/>
  <c r="DM288" i="15" s="1"/>
  <c r="DM289" i="15" s="1"/>
  <c r="DM290" i="15" s="1"/>
  <c r="DM291" i="15" s="1"/>
  <c r="DM292" i="15" s="1"/>
  <c r="DM293" i="15" s="1"/>
  <c r="DM294" i="15" s="1"/>
  <c r="DM295" i="15" s="1"/>
  <c r="DM296" i="15" s="1"/>
  <c r="DM297" i="15" s="1"/>
  <c r="DM298" i="15" s="1"/>
  <c r="DM299" i="15" s="1"/>
  <c r="DM300" i="15" s="1"/>
  <c r="DM301" i="15" s="1"/>
  <c r="DQ9" i="15"/>
  <c r="DQ10" i="15" s="1"/>
  <c r="DQ11" i="15" s="1"/>
  <c r="DQ12" i="15" s="1"/>
  <c r="DQ13" i="15" s="1"/>
  <c r="DQ14" i="15" s="1"/>
  <c r="DQ15" i="15" s="1"/>
  <c r="DQ16" i="15" s="1"/>
  <c r="DQ17" i="15" s="1"/>
  <c r="DQ18" i="15" s="1"/>
  <c r="DQ19" i="15" s="1"/>
  <c r="DQ20" i="15" s="1"/>
  <c r="DQ21" i="15" s="1"/>
  <c r="DQ22" i="15" s="1"/>
  <c r="DQ23" i="15" s="1"/>
  <c r="DQ24" i="15" s="1"/>
  <c r="DQ25" i="15" s="1"/>
  <c r="DQ26" i="15" s="1"/>
  <c r="DQ27" i="15" s="1"/>
  <c r="DQ28" i="15" s="1"/>
  <c r="DQ29" i="15" s="1"/>
  <c r="DQ30" i="15" s="1"/>
  <c r="DQ31" i="15" s="1"/>
  <c r="DQ32" i="15" s="1"/>
  <c r="DQ33" i="15" s="1"/>
  <c r="DQ34" i="15" s="1"/>
  <c r="DQ35" i="15" s="1"/>
  <c r="DQ36" i="15" s="1"/>
  <c r="DQ37" i="15" s="1"/>
  <c r="DQ38" i="15" s="1"/>
  <c r="DQ39" i="15" s="1"/>
  <c r="DQ40" i="15" s="1"/>
  <c r="DQ41" i="15" s="1"/>
  <c r="DQ42" i="15" s="1"/>
  <c r="DQ43" i="15" s="1"/>
  <c r="DQ44" i="15" s="1"/>
  <c r="DQ45" i="15" s="1"/>
  <c r="DQ46" i="15" s="1"/>
  <c r="DQ47" i="15" s="1"/>
  <c r="DQ48" i="15" s="1"/>
  <c r="DQ49" i="15" s="1"/>
  <c r="DQ50" i="15" s="1"/>
  <c r="DQ51" i="15" s="1"/>
  <c r="DQ52" i="15" s="1"/>
  <c r="DQ53" i="15" s="1"/>
  <c r="DQ54" i="15" s="1"/>
  <c r="DQ55" i="15" s="1"/>
  <c r="DQ56" i="15" s="1"/>
  <c r="DQ57" i="15" s="1"/>
  <c r="DQ58" i="15" s="1"/>
  <c r="DQ59" i="15" s="1"/>
  <c r="DQ60" i="15" s="1"/>
  <c r="DQ61" i="15" s="1"/>
  <c r="DQ62" i="15" s="1"/>
  <c r="DQ63" i="15" s="1"/>
  <c r="DQ64" i="15" s="1"/>
  <c r="DQ65" i="15" s="1"/>
  <c r="DQ66" i="15" s="1"/>
  <c r="DQ67" i="15" s="1"/>
  <c r="DQ68" i="15" s="1"/>
  <c r="DQ69" i="15" s="1"/>
  <c r="DQ70" i="15" s="1"/>
  <c r="DQ71" i="15" s="1"/>
  <c r="DQ72" i="15" s="1"/>
  <c r="DQ73" i="15" s="1"/>
  <c r="DQ74" i="15" s="1"/>
  <c r="DQ75" i="15" s="1"/>
  <c r="DQ76" i="15" s="1"/>
  <c r="DQ77" i="15" s="1"/>
  <c r="DQ78" i="15" s="1"/>
  <c r="DQ79" i="15" s="1"/>
  <c r="DQ80" i="15" s="1"/>
  <c r="DQ81" i="15" s="1"/>
  <c r="DQ82" i="15" s="1"/>
  <c r="DQ83" i="15" s="1"/>
  <c r="DQ84" i="15" s="1"/>
  <c r="DQ85" i="15" s="1"/>
  <c r="DQ86" i="15" s="1"/>
  <c r="DQ87" i="15" s="1"/>
  <c r="DQ88" i="15" s="1"/>
  <c r="DQ89" i="15" s="1"/>
  <c r="DQ90" i="15" s="1"/>
  <c r="DQ91" i="15" s="1"/>
  <c r="DQ92" i="15" s="1"/>
  <c r="DQ93" i="15" s="1"/>
  <c r="DQ94" i="15" s="1"/>
  <c r="DQ95" i="15" s="1"/>
  <c r="DQ96" i="15" s="1"/>
  <c r="DQ97" i="15" s="1"/>
  <c r="DQ98" i="15" s="1"/>
  <c r="DQ99" i="15" s="1"/>
  <c r="DQ100" i="15" s="1"/>
  <c r="DQ101" i="15" s="1"/>
  <c r="DQ102" i="15" s="1"/>
  <c r="DQ103" i="15" s="1"/>
  <c r="DQ104" i="15" s="1"/>
  <c r="DQ105" i="15" s="1"/>
  <c r="DQ106" i="15" s="1"/>
  <c r="DQ107" i="15" s="1"/>
  <c r="DQ108" i="15" s="1"/>
  <c r="DQ109" i="15" s="1"/>
  <c r="DQ110" i="15" s="1"/>
  <c r="DQ111" i="15" s="1"/>
  <c r="DQ112" i="15" s="1"/>
  <c r="DQ113" i="15" s="1"/>
  <c r="DQ114" i="15" s="1"/>
  <c r="DQ115" i="15" s="1"/>
  <c r="DQ116" i="15" s="1"/>
  <c r="DQ117" i="15" s="1"/>
  <c r="DQ118" i="15" s="1"/>
  <c r="DQ119" i="15" s="1"/>
  <c r="DQ120" i="15" s="1"/>
  <c r="DQ121" i="15" s="1"/>
  <c r="DQ122" i="15" s="1"/>
  <c r="DQ123" i="15" s="1"/>
  <c r="DQ124" i="15" s="1"/>
  <c r="DQ125" i="15" s="1"/>
  <c r="DQ126" i="15" s="1"/>
  <c r="DQ127" i="15" s="1"/>
  <c r="DQ128" i="15" s="1"/>
  <c r="DQ129" i="15" s="1"/>
  <c r="DQ130" i="15" s="1"/>
  <c r="DQ131" i="15" s="1"/>
  <c r="DQ132" i="15" s="1"/>
  <c r="DQ133" i="15" s="1"/>
  <c r="DQ134" i="15" s="1"/>
  <c r="DQ135" i="15" s="1"/>
  <c r="DQ136" i="15" s="1"/>
  <c r="DQ137" i="15" s="1"/>
  <c r="DQ138" i="15" s="1"/>
  <c r="DQ139" i="15" s="1"/>
  <c r="DQ140" i="15" s="1"/>
  <c r="DQ141" i="15" s="1"/>
  <c r="DQ142" i="15" s="1"/>
  <c r="DQ143" i="15" s="1"/>
  <c r="DQ144" i="15" s="1"/>
  <c r="DQ145" i="15" s="1"/>
  <c r="DQ146" i="15" s="1"/>
  <c r="DQ147" i="15" s="1"/>
  <c r="DQ148" i="15" s="1"/>
  <c r="DQ149" i="15" s="1"/>
  <c r="DQ150" i="15" s="1"/>
  <c r="DQ151" i="15" s="1"/>
  <c r="DQ152" i="15" s="1"/>
  <c r="DQ153" i="15" s="1"/>
  <c r="DQ154" i="15" s="1"/>
  <c r="DQ155" i="15" s="1"/>
  <c r="DQ156" i="15" s="1"/>
  <c r="DQ157" i="15" s="1"/>
  <c r="DQ158" i="15" s="1"/>
  <c r="DQ159" i="15" s="1"/>
  <c r="DQ160" i="15" s="1"/>
  <c r="DQ161" i="15" s="1"/>
  <c r="DQ162" i="15" s="1"/>
  <c r="DQ163" i="15" s="1"/>
  <c r="DQ164" i="15" s="1"/>
  <c r="DQ165" i="15" s="1"/>
  <c r="DQ166" i="15" s="1"/>
  <c r="DQ167" i="15" s="1"/>
  <c r="DQ168" i="15" s="1"/>
  <c r="DQ169" i="15" s="1"/>
  <c r="DQ170" i="15" s="1"/>
  <c r="DQ171" i="15" s="1"/>
  <c r="DQ172" i="15" s="1"/>
  <c r="DQ173" i="15" s="1"/>
  <c r="DQ174" i="15" s="1"/>
  <c r="DQ175" i="15" s="1"/>
  <c r="DQ176" i="15" s="1"/>
  <c r="DQ177" i="15" s="1"/>
  <c r="DQ178" i="15" s="1"/>
  <c r="DQ179" i="15" s="1"/>
  <c r="DQ180" i="15" s="1"/>
  <c r="DQ181" i="15" s="1"/>
  <c r="DQ182" i="15" s="1"/>
  <c r="DQ183" i="15" s="1"/>
  <c r="DQ184" i="15" s="1"/>
  <c r="DQ185" i="15" s="1"/>
  <c r="DQ186" i="15" s="1"/>
  <c r="DQ187" i="15" s="1"/>
  <c r="DQ188" i="15" s="1"/>
  <c r="DQ189" i="15" s="1"/>
  <c r="DQ190" i="15" s="1"/>
  <c r="DQ191" i="15" s="1"/>
  <c r="DQ192" i="15" s="1"/>
  <c r="DQ193" i="15" s="1"/>
  <c r="DQ194" i="15" s="1"/>
  <c r="DQ195" i="15" s="1"/>
  <c r="DQ196" i="15" s="1"/>
  <c r="DQ197" i="15" s="1"/>
  <c r="DQ198" i="15" s="1"/>
  <c r="DQ199" i="15" s="1"/>
  <c r="DQ200" i="15" s="1"/>
  <c r="DQ201" i="15" s="1"/>
  <c r="DQ202" i="15" s="1"/>
  <c r="DQ203" i="15" s="1"/>
  <c r="DQ204" i="15" s="1"/>
  <c r="DQ205" i="15" s="1"/>
  <c r="DQ206" i="15" s="1"/>
  <c r="DQ207" i="15" s="1"/>
  <c r="DQ208" i="15" s="1"/>
  <c r="DQ209" i="15" s="1"/>
  <c r="DQ210" i="15" s="1"/>
  <c r="DQ211" i="15" s="1"/>
  <c r="DQ212" i="15" s="1"/>
  <c r="DQ213" i="15" s="1"/>
  <c r="DQ214" i="15" s="1"/>
  <c r="DQ215" i="15" s="1"/>
  <c r="DQ216" i="15" s="1"/>
  <c r="DQ217" i="15" s="1"/>
  <c r="DQ218" i="15" s="1"/>
  <c r="DQ219" i="15" s="1"/>
  <c r="DQ220" i="15" s="1"/>
  <c r="DQ221" i="15" s="1"/>
  <c r="DQ222" i="15" s="1"/>
  <c r="DQ223" i="15" s="1"/>
  <c r="DQ224" i="15" s="1"/>
  <c r="DQ225" i="15" s="1"/>
  <c r="DQ226" i="15" s="1"/>
  <c r="DQ227" i="15" s="1"/>
  <c r="DQ228" i="15" s="1"/>
  <c r="DQ229" i="15" s="1"/>
  <c r="DQ230" i="15" s="1"/>
  <c r="DQ231" i="15" s="1"/>
  <c r="DQ232" i="15" s="1"/>
  <c r="DQ233" i="15" s="1"/>
  <c r="DQ234" i="15" s="1"/>
  <c r="DQ235" i="15" s="1"/>
  <c r="DQ236" i="15" s="1"/>
  <c r="DQ237" i="15" s="1"/>
  <c r="DQ238" i="15" s="1"/>
  <c r="DQ239" i="15" s="1"/>
  <c r="DQ240" i="15" s="1"/>
  <c r="DQ241" i="15" s="1"/>
  <c r="DQ242" i="15" s="1"/>
  <c r="DQ243" i="15" s="1"/>
  <c r="DQ244" i="15" s="1"/>
  <c r="DQ245" i="15" s="1"/>
  <c r="DQ246" i="15" s="1"/>
  <c r="DQ247" i="15" s="1"/>
  <c r="DQ248" i="15" s="1"/>
  <c r="DQ249" i="15" s="1"/>
  <c r="DQ250" i="15" s="1"/>
  <c r="DQ251" i="15" s="1"/>
  <c r="DQ252" i="15" s="1"/>
  <c r="DQ253" i="15" s="1"/>
  <c r="DQ254" i="15" s="1"/>
  <c r="DQ255" i="15" s="1"/>
  <c r="DQ256" i="15" s="1"/>
  <c r="DQ257" i="15" s="1"/>
  <c r="DQ258" i="15" s="1"/>
  <c r="DQ259" i="15" s="1"/>
  <c r="DQ260" i="15" s="1"/>
  <c r="DQ261" i="15" s="1"/>
  <c r="DQ262" i="15" s="1"/>
  <c r="DQ263" i="15" s="1"/>
  <c r="DQ264" i="15" s="1"/>
  <c r="DQ265" i="15" s="1"/>
  <c r="DQ266" i="15" s="1"/>
  <c r="DQ267" i="15" s="1"/>
  <c r="DQ268" i="15" s="1"/>
  <c r="DQ269" i="15" s="1"/>
  <c r="DQ270" i="15" s="1"/>
  <c r="DQ271" i="15" s="1"/>
  <c r="DQ272" i="15" s="1"/>
  <c r="DQ273" i="15" s="1"/>
  <c r="DQ274" i="15" s="1"/>
  <c r="DQ275" i="15" s="1"/>
  <c r="DQ276" i="15" s="1"/>
  <c r="DQ277" i="15" s="1"/>
  <c r="DQ278" i="15" s="1"/>
  <c r="DQ279" i="15" s="1"/>
  <c r="DQ280" i="15" s="1"/>
  <c r="DQ281" i="15" s="1"/>
  <c r="DQ282" i="15" s="1"/>
  <c r="DQ283" i="15" s="1"/>
  <c r="DQ284" i="15" s="1"/>
  <c r="DQ285" i="15" s="1"/>
  <c r="DQ286" i="15" s="1"/>
  <c r="DQ287" i="15" s="1"/>
  <c r="DQ288" i="15" s="1"/>
  <c r="DQ289" i="15" s="1"/>
  <c r="DQ290" i="15" s="1"/>
  <c r="DQ291" i="15" s="1"/>
  <c r="DQ292" i="15" s="1"/>
  <c r="DQ293" i="15" s="1"/>
  <c r="DQ294" i="15" s="1"/>
  <c r="DQ295" i="15" s="1"/>
  <c r="DQ296" i="15" s="1"/>
  <c r="DQ297" i="15" s="1"/>
  <c r="DQ298" i="15" s="1"/>
  <c r="DQ299" i="15" s="1"/>
  <c r="DQ300" i="15" s="1"/>
  <c r="DQ301" i="15" s="1"/>
  <c r="DZ9" i="15"/>
  <c r="DZ10" i="15" s="1"/>
  <c r="DZ11" i="15" s="1"/>
  <c r="DZ12" i="15" s="1"/>
  <c r="DZ13" i="15" s="1"/>
  <c r="DZ14" i="15" s="1"/>
  <c r="DZ15" i="15" s="1"/>
  <c r="DZ16" i="15" s="1"/>
  <c r="DZ17" i="15" s="1"/>
  <c r="DZ18" i="15" s="1"/>
  <c r="DZ19" i="15" s="1"/>
  <c r="DZ20" i="15" s="1"/>
  <c r="DZ21" i="15" s="1"/>
  <c r="DZ22" i="15" s="1"/>
  <c r="DZ23" i="15" s="1"/>
  <c r="DZ24" i="15" s="1"/>
  <c r="DZ25" i="15" s="1"/>
  <c r="DZ26" i="15" s="1"/>
  <c r="DZ27" i="15" s="1"/>
  <c r="DZ28" i="15" s="1"/>
  <c r="DZ29" i="15" s="1"/>
  <c r="DZ30" i="15" s="1"/>
  <c r="DZ31" i="15" s="1"/>
  <c r="DZ32" i="15" s="1"/>
  <c r="DZ33" i="15" s="1"/>
  <c r="DZ34" i="15" s="1"/>
  <c r="DZ35" i="15" s="1"/>
  <c r="DZ36" i="15" s="1"/>
  <c r="DZ37" i="15" s="1"/>
  <c r="DZ38" i="15" s="1"/>
  <c r="DZ39" i="15" s="1"/>
  <c r="DZ40" i="15" s="1"/>
  <c r="DZ41" i="15" s="1"/>
  <c r="DZ42" i="15" s="1"/>
  <c r="DZ43" i="15" s="1"/>
  <c r="DZ44" i="15" s="1"/>
  <c r="DZ45" i="15" s="1"/>
  <c r="DZ46" i="15" s="1"/>
  <c r="DZ47" i="15" s="1"/>
  <c r="DZ48" i="15" s="1"/>
  <c r="DZ49" i="15" s="1"/>
  <c r="DZ50" i="15" s="1"/>
  <c r="DZ51" i="15" s="1"/>
  <c r="DZ52" i="15" s="1"/>
  <c r="DZ53" i="15" s="1"/>
  <c r="DZ54" i="15" s="1"/>
  <c r="DZ55" i="15" s="1"/>
  <c r="DZ56" i="15" s="1"/>
  <c r="DZ57" i="15" s="1"/>
  <c r="DZ58" i="15" s="1"/>
  <c r="DZ59" i="15" s="1"/>
  <c r="DZ60" i="15" s="1"/>
  <c r="DZ61" i="15" s="1"/>
  <c r="DZ62" i="15" s="1"/>
  <c r="DZ63" i="15" s="1"/>
  <c r="DZ64" i="15" s="1"/>
  <c r="DZ65" i="15" s="1"/>
  <c r="DZ66" i="15" s="1"/>
  <c r="DZ67" i="15" s="1"/>
  <c r="DZ68" i="15" s="1"/>
  <c r="DZ69" i="15" s="1"/>
  <c r="DZ70" i="15" s="1"/>
  <c r="DZ71" i="15" s="1"/>
  <c r="DZ72" i="15" s="1"/>
  <c r="DZ73" i="15" s="1"/>
  <c r="DZ74" i="15" s="1"/>
  <c r="DZ75" i="15" s="1"/>
  <c r="DZ76" i="15" s="1"/>
  <c r="DZ77" i="15" s="1"/>
  <c r="DZ78" i="15" s="1"/>
  <c r="DZ79" i="15" s="1"/>
  <c r="DZ80" i="15" s="1"/>
  <c r="DZ81" i="15" s="1"/>
  <c r="DZ82" i="15" s="1"/>
  <c r="DZ83" i="15" s="1"/>
  <c r="DZ84" i="15" s="1"/>
  <c r="DZ85" i="15" s="1"/>
  <c r="DZ86" i="15" s="1"/>
  <c r="DZ87" i="15" s="1"/>
  <c r="DZ88" i="15" s="1"/>
  <c r="DZ89" i="15" s="1"/>
  <c r="DZ90" i="15" s="1"/>
  <c r="DZ91" i="15" s="1"/>
  <c r="DZ92" i="15" s="1"/>
  <c r="DZ93" i="15" s="1"/>
  <c r="DZ94" i="15" s="1"/>
  <c r="DZ95" i="15" s="1"/>
  <c r="DZ96" i="15" s="1"/>
  <c r="DZ97" i="15" s="1"/>
  <c r="DZ98" i="15" s="1"/>
  <c r="DZ99" i="15" s="1"/>
  <c r="DZ100" i="15" s="1"/>
  <c r="DZ101" i="15" s="1"/>
  <c r="DZ102" i="15" s="1"/>
  <c r="DZ103" i="15" s="1"/>
  <c r="DZ104" i="15" s="1"/>
  <c r="DZ105" i="15" s="1"/>
  <c r="DZ106" i="15" s="1"/>
  <c r="DZ107" i="15" s="1"/>
  <c r="DZ108" i="15" s="1"/>
  <c r="DZ109" i="15" s="1"/>
  <c r="DZ110" i="15" s="1"/>
  <c r="DZ111" i="15" s="1"/>
  <c r="DZ112" i="15" s="1"/>
  <c r="DZ113" i="15" s="1"/>
  <c r="DZ114" i="15" s="1"/>
  <c r="DZ115" i="15" s="1"/>
  <c r="DZ116" i="15" s="1"/>
  <c r="DZ117" i="15" s="1"/>
  <c r="DZ118" i="15" s="1"/>
  <c r="DZ119" i="15" s="1"/>
  <c r="DZ120" i="15" s="1"/>
  <c r="DZ121" i="15" s="1"/>
  <c r="DZ122" i="15" s="1"/>
  <c r="DZ123" i="15" s="1"/>
  <c r="DZ124" i="15" s="1"/>
  <c r="DZ125" i="15" s="1"/>
  <c r="DZ126" i="15" s="1"/>
  <c r="DZ127" i="15" s="1"/>
  <c r="DZ128" i="15" s="1"/>
  <c r="DZ129" i="15" s="1"/>
  <c r="DZ130" i="15" s="1"/>
  <c r="DZ131" i="15" s="1"/>
  <c r="DZ132" i="15" s="1"/>
  <c r="DZ133" i="15" s="1"/>
  <c r="DZ134" i="15" s="1"/>
  <c r="DZ135" i="15" s="1"/>
  <c r="DZ136" i="15" s="1"/>
  <c r="DZ137" i="15" s="1"/>
  <c r="DZ138" i="15" s="1"/>
  <c r="DZ139" i="15" s="1"/>
  <c r="DZ140" i="15" s="1"/>
  <c r="DZ141" i="15" s="1"/>
  <c r="DZ142" i="15" s="1"/>
  <c r="DZ143" i="15" s="1"/>
  <c r="DZ144" i="15" s="1"/>
  <c r="DZ145" i="15" s="1"/>
  <c r="DZ146" i="15" s="1"/>
  <c r="DZ147" i="15" s="1"/>
  <c r="DZ148" i="15" s="1"/>
  <c r="DZ149" i="15" s="1"/>
  <c r="DZ150" i="15" s="1"/>
  <c r="DZ151" i="15" s="1"/>
  <c r="DZ152" i="15" s="1"/>
  <c r="DZ153" i="15" s="1"/>
  <c r="DZ154" i="15" s="1"/>
  <c r="DZ155" i="15" s="1"/>
  <c r="DZ156" i="15" s="1"/>
  <c r="DZ157" i="15" s="1"/>
  <c r="DZ158" i="15" s="1"/>
  <c r="DZ159" i="15" s="1"/>
  <c r="DZ160" i="15" s="1"/>
  <c r="DZ161" i="15" s="1"/>
  <c r="DZ162" i="15" s="1"/>
  <c r="DZ163" i="15" s="1"/>
  <c r="DZ164" i="15" s="1"/>
  <c r="DZ165" i="15" s="1"/>
  <c r="DZ166" i="15" s="1"/>
  <c r="DZ167" i="15" s="1"/>
  <c r="DZ168" i="15" s="1"/>
  <c r="DZ169" i="15" s="1"/>
  <c r="DZ170" i="15" s="1"/>
  <c r="DZ171" i="15" s="1"/>
  <c r="DZ172" i="15" s="1"/>
  <c r="DZ173" i="15" s="1"/>
  <c r="DZ174" i="15" s="1"/>
  <c r="DZ175" i="15" s="1"/>
  <c r="DZ176" i="15" s="1"/>
  <c r="DZ177" i="15" s="1"/>
  <c r="DZ178" i="15" s="1"/>
  <c r="DZ179" i="15" s="1"/>
  <c r="DZ180" i="15" s="1"/>
  <c r="DZ181" i="15" s="1"/>
  <c r="DZ182" i="15" s="1"/>
  <c r="DZ183" i="15" s="1"/>
  <c r="DZ184" i="15" s="1"/>
  <c r="DZ185" i="15" s="1"/>
  <c r="DZ186" i="15" s="1"/>
  <c r="DZ187" i="15" s="1"/>
  <c r="DZ188" i="15" s="1"/>
  <c r="DZ189" i="15" s="1"/>
  <c r="DZ190" i="15" s="1"/>
  <c r="DZ191" i="15" s="1"/>
  <c r="DZ192" i="15" s="1"/>
  <c r="DZ193" i="15" s="1"/>
  <c r="DZ194" i="15" s="1"/>
  <c r="DZ195" i="15" s="1"/>
  <c r="DZ196" i="15" s="1"/>
  <c r="DZ197" i="15" s="1"/>
  <c r="DZ198" i="15" s="1"/>
  <c r="DZ199" i="15" s="1"/>
  <c r="DZ200" i="15" s="1"/>
  <c r="DZ201" i="15" s="1"/>
  <c r="DZ202" i="15" s="1"/>
  <c r="DZ203" i="15" s="1"/>
  <c r="DZ204" i="15" s="1"/>
  <c r="DZ205" i="15" s="1"/>
  <c r="DZ206" i="15" s="1"/>
  <c r="DZ207" i="15" s="1"/>
  <c r="DZ208" i="15" s="1"/>
  <c r="DZ209" i="15" s="1"/>
  <c r="DZ210" i="15" s="1"/>
  <c r="DZ211" i="15" s="1"/>
  <c r="DZ212" i="15" s="1"/>
  <c r="DZ213" i="15" s="1"/>
  <c r="DZ214" i="15" s="1"/>
  <c r="DZ215" i="15" s="1"/>
  <c r="DZ216" i="15" s="1"/>
  <c r="DZ217" i="15" s="1"/>
  <c r="DZ218" i="15" s="1"/>
  <c r="DZ219" i="15" s="1"/>
  <c r="DZ220" i="15" s="1"/>
  <c r="DZ221" i="15" s="1"/>
  <c r="DZ222" i="15" s="1"/>
  <c r="DZ223" i="15" s="1"/>
  <c r="DZ224" i="15" s="1"/>
  <c r="DZ225" i="15" s="1"/>
  <c r="DZ226" i="15" s="1"/>
  <c r="DZ227" i="15" s="1"/>
  <c r="DZ228" i="15" s="1"/>
  <c r="DZ229" i="15" s="1"/>
  <c r="DZ230" i="15" s="1"/>
  <c r="DZ231" i="15" s="1"/>
  <c r="DZ232" i="15" s="1"/>
  <c r="DZ233" i="15" s="1"/>
  <c r="DZ234" i="15" s="1"/>
  <c r="DZ235" i="15" s="1"/>
  <c r="DZ236" i="15" s="1"/>
  <c r="DZ237" i="15" s="1"/>
  <c r="DZ238" i="15" s="1"/>
  <c r="DZ239" i="15" s="1"/>
  <c r="DZ240" i="15" s="1"/>
  <c r="DZ241" i="15" s="1"/>
  <c r="DZ242" i="15" s="1"/>
  <c r="DZ243" i="15" s="1"/>
  <c r="DZ244" i="15" s="1"/>
  <c r="DZ245" i="15" s="1"/>
  <c r="DZ246" i="15" s="1"/>
  <c r="DZ247" i="15" s="1"/>
  <c r="DZ248" i="15" s="1"/>
  <c r="DZ249" i="15" s="1"/>
  <c r="DZ250" i="15" s="1"/>
  <c r="DZ251" i="15" s="1"/>
  <c r="DZ252" i="15" s="1"/>
  <c r="DZ253" i="15" s="1"/>
  <c r="DZ254" i="15" s="1"/>
  <c r="DZ255" i="15" s="1"/>
  <c r="DZ256" i="15" s="1"/>
  <c r="DZ257" i="15" s="1"/>
  <c r="DZ258" i="15" s="1"/>
  <c r="DZ259" i="15" s="1"/>
  <c r="DZ260" i="15" s="1"/>
  <c r="DZ261" i="15" s="1"/>
  <c r="DZ262" i="15" s="1"/>
  <c r="DZ263" i="15" s="1"/>
  <c r="DZ264" i="15" s="1"/>
  <c r="DZ265" i="15" s="1"/>
  <c r="DZ266" i="15" s="1"/>
  <c r="DZ267" i="15" s="1"/>
  <c r="DZ268" i="15" s="1"/>
  <c r="DZ269" i="15" s="1"/>
  <c r="DZ270" i="15" s="1"/>
  <c r="DZ271" i="15" s="1"/>
  <c r="DZ272" i="15" s="1"/>
  <c r="DZ273" i="15" s="1"/>
  <c r="DZ274" i="15" s="1"/>
  <c r="DZ275" i="15" s="1"/>
  <c r="DZ276" i="15" s="1"/>
  <c r="DZ277" i="15" s="1"/>
  <c r="DZ278" i="15" s="1"/>
  <c r="DZ279" i="15" s="1"/>
  <c r="DZ280" i="15" s="1"/>
  <c r="DZ281" i="15" s="1"/>
  <c r="DZ282" i="15" s="1"/>
  <c r="DZ283" i="15" s="1"/>
  <c r="DZ284" i="15" s="1"/>
  <c r="DZ285" i="15" s="1"/>
  <c r="DZ286" i="15" s="1"/>
  <c r="DZ287" i="15" s="1"/>
  <c r="DZ288" i="15" s="1"/>
  <c r="DZ289" i="15" s="1"/>
  <c r="DZ290" i="15" s="1"/>
  <c r="DZ291" i="15" s="1"/>
  <c r="DZ292" i="15" s="1"/>
  <c r="DZ293" i="15" s="1"/>
  <c r="DZ294" i="15" s="1"/>
  <c r="DZ295" i="15" s="1"/>
  <c r="DZ296" i="15" s="1"/>
  <c r="DZ297" i="15" s="1"/>
  <c r="DZ298" i="15" s="1"/>
  <c r="DZ299" i="15" s="1"/>
  <c r="DZ300" i="15" s="1"/>
  <c r="DZ301" i="15" s="1"/>
  <c r="ED9" i="15"/>
  <c r="ED10" i="15" s="1"/>
  <c r="ED11" i="15" s="1"/>
  <c r="ED12" i="15" s="1"/>
  <c r="ED13" i="15" s="1"/>
  <c r="ED14" i="15" s="1"/>
  <c r="ED15" i="15" s="1"/>
  <c r="ED16" i="15" s="1"/>
  <c r="ED17" i="15" s="1"/>
  <c r="ED18" i="15" s="1"/>
  <c r="ED19" i="15" s="1"/>
  <c r="ED20" i="15" s="1"/>
  <c r="ED21" i="15" s="1"/>
  <c r="ED22" i="15" s="1"/>
  <c r="ED23" i="15" s="1"/>
  <c r="ED24" i="15" s="1"/>
  <c r="ED25" i="15" s="1"/>
  <c r="ED26" i="15" s="1"/>
  <c r="ED27" i="15" s="1"/>
  <c r="ED28" i="15" s="1"/>
  <c r="ED29" i="15" s="1"/>
  <c r="ED30" i="15" s="1"/>
  <c r="ED31" i="15" s="1"/>
  <c r="ED32" i="15" s="1"/>
  <c r="ED33" i="15" s="1"/>
  <c r="ED34" i="15" s="1"/>
  <c r="ED35" i="15" s="1"/>
  <c r="ED36" i="15" s="1"/>
  <c r="ED37" i="15" s="1"/>
  <c r="ED38" i="15" s="1"/>
  <c r="ED39" i="15" s="1"/>
  <c r="ED40" i="15" s="1"/>
  <c r="ED41" i="15" s="1"/>
  <c r="ED42" i="15" s="1"/>
  <c r="ED43" i="15" s="1"/>
  <c r="ED44" i="15" s="1"/>
  <c r="ED45" i="15" s="1"/>
  <c r="ED46" i="15" s="1"/>
  <c r="ED47" i="15" s="1"/>
  <c r="ED48" i="15" s="1"/>
  <c r="ED49" i="15" s="1"/>
  <c r="ED50" i="15" s="1"/>
  <c r="ED51" i="15" s="1"/>
  <c r="ED52" i="15" s="1"/>
  <c r="ED53" i="15" s="1"/>
  <c r="ED54" i="15" s="1"/>
  <c r="ED55" i="15" s="1"/>
  <c r="ED56" i="15" s="1"/>
  <c r="ED57" i="15" s="1"/>
  <c r="ED58" i="15" s="1"/>
  <c r="ED59" i="15" s="1"/>
  <c r="ED60" i="15" s="1"/>
  <c r="ED61" i="15" s="1"/>
  <c r="ED62" i="15" s="1"/>
  <c r="ED63" i="15" s="1"/>
  <c r="ED64" i="15" s="1"/>
  <c r="ED65" i="15" s="1"/>
  <c r="ED66" i="15" s="1"/>
  <c r="ED67" i="15" s="1"/>
  <c r="ED68" i="15" s="1"/>
  <c r="ED69" i="15" s="1"/>
  <c r="ED70" i="15" s="1"/>
  <c r="ED71" i="15" s="1"/>
  <c r="ED72" i="15" s="1"/>
  <c r="ED73" i="15" s="1"/>
  <c r="ED74" i="15" s="1"/>
  <c r="ED75" i="15" s="1"/>
  <c r="ED76" i="15" s="1"/>
  <c r="ED77" i="15" s="1"/>
  <c r="ED78" i="15" s="1"/>
  <c r="ED79" i="15" s="1"/>
  <c r="ED80" i="15" s="1"/>
  <c r="ED81" i="15" s="1"/>
  <c r="ED82" i="15" s="1"/>
  <c r="ED83" i="15" s="1"/>
  <c r="ED84" i="15" s="1"/>
  <c r="ED85" i="15" s="1"/>
  <c r="ED86" i="15" s="1"/>
  <c r="ED87" i="15" s="1"/>
  <c r="ED88" i="15" s="1"/>
  <c r="ED89" i="15" s="1"/>
  <c r="ED90" i="15" s="1"/>
  <c r="ED91" i="15" s="1"/>
  <c r="ED92" i="15" s="1"/>
  <c r="ED93" i="15" s="1"/>
  <c r="ED94" i="15" s="1"/>
  <c r="ED95" i="15" s="1"/>
  <c r="ED96" i="15" s="1"/>
  <c r="ED97" i="15" s="1"/>
  <c r="ED98" i="15" s="1"/>
  <c r="ED99" i="15" s="1"/>
  <c r="ED100" i="15" s="1"/>
  <c r="ED101" i="15" s="1"/>
  <c r="ED102" i="15" s="1"/>
  <c r="ED103" i="15" s="1"/>
  <c r="ED104" i="15" s="1"/>
  <c r="ED105" i="15" s="1"/>
  <c r="ED106" i="15" s="1"/>
  <c r="ED107" i="15" s="1"/>
  <c r="ED108" i="15" s="1"/>
  <c r="ED109" i="15" s="1"/>
  <c r="ED110" i="15" s="1"/>
  <c r="ED111" i="15" s="1"/>
  <c r="ED112" i="15" s="1"/>
  <c r="ED113" i="15" s="1"/>
  <c r="ED114" i="15" s="1"/>
  <c r="ED115" i="15" s="1"/>
  <c r="ED116" i="15" s="1"/>
  <c r="ED117" i="15" s="1"/>
  <c r="ED118" i="15" s="1"/>
  <c r="ED119" i="15" s="1"/>
  <c r="ED120" i="15" s="1"/>
  <c r="ED121" i="15" s="1"/>
  <c r="ED122" i="15" s="1"/>
  <c r="ED123" i="15" s="1"/>
  <c r="ED124" i="15" s="1"/>
  <c r="ED125" i="15" s="1"/>
  <c r="ED126" i="15" s="1"/>
  <c r="ED127" i="15" s="1"/>
  <c r="ED128" i="15" s="1"/>
  <c r="ED129" i="15" s="1"/>
  <c r="ED130" i="15" s="1"/>
  <c r="ED131" i="15" s="1"/>
  <c r="ED132" i="15" s="1"/>
  <c r="ED133" i="15" s="1"/>
  <c r="ED134" i="15" s="1"/>
  <c r="ED135" i="15" s="1"/>
  <c r="ED136" i="15" s="1"/>
  <c r="ED137" i="15" s="1"/>
  <c r="ED138" i="15" s="1"/>
  <c r="ED139" i="15" s="1"/>
  <c r="ED140" i="15" s="1"/>
  <c r="ED141" i="15" s="1"/>
  <c r="ED142" i="15" s="1"/>
  <c r="ED143" i="15" s="1"/>
  <c r="ED144" i="15" s="1"/>
  <c r="ED145" i="15" s="1"/>
  <c r="ED146" i="15" s="1"/>
  <c r="ED147" i="15" s="1"/>
  <c r="ED148" i="15" s="1"/>
  <c r="ED149" i="15" s="1"/>
  <c r="ED150" i="15" s="1"/>
  <c r="ED151" i="15" s="1"/>
  <c r="ED152" i="15" s="1"/>
  <c r="ED153" i="15" s="1"/>
  <c r="ED154" i="15" s="1"/>
  <c r="ED155" i="15" s="1"/>
  <c r="ED156" i="15" s="1"/>
  <c r="ED157" i="15" s="1"/>
  <c r="ED158" i="15" s="1"/>
  <c r="ED159" i="15" s="1"/>
  <c r="ED160" i="15" s="1"/>
  <c r="ED161" i="15" s="1"/>
  <c r="ED162" i="15" s="1"/>
  <c r="ED163" i="15" s="1"/>
  <c r="ED164" i="15" s="1"/>
  <c r="ED165" i="15" s="1"/>
  <c r="ED166" i="15" s="1"/>
  <c r="ED167" i="15" s="1"/>
  <c r="ED168" i="15" s="1"/>
  <c r="ED169" i="15" s="1"/>
  <c r="ED170" i="15" s="1"/>
  <c r="ED171" i="15" s="1"/>
  <c r="ED172" i="15" s="1"/>
  <c r="ED173" i="15" s="1"/>
  <c r="ED174" i="15" s="1"/>
  <c r="ED175" i="15" s="1"/>
  <c r="ED176" i="15" s="1"/>
  <c r="ED177" i="15" s="1"/>
  <c r="ED178" i="15" s="1"/>
  <c r="ED179" i="15" s="1"/>
  <c r="ED180" i="15" s="1"/>
  <c r="ED181" i="15" s="1"/>
  <c r="ED182" i="15" s="1"/>
  <c r="ED183" i="15" s="1"/>
  <c r="ED184" i="15" s="1"/>
  <c r="ED185" i="15" s="1"/>
  <c r="ED186" i="15" s="1"/>
  <c r="ED187" i="15" s="1"/>
  <c r="ED188" i="15" s="1"/>
  <c r="ED189" i="15" s="1"/>
  <c r="ED190" i="15" s="1"/>
  <c r="ED191" i="15" s="1"/>
  <c r="ED192" i="15" s="1"/>
  <c r="ED193" i="15" s="1"/>
  <c r="ED194" i="15" s="1"/>
  <c r="ED195" i="15" s="1"/>
  <c r="ED196" i="15" s="1"/>
  <c r="ED197" i="15" s="1"/>
  <c r="ED198" i="15" s="1"/>
  <c r="ED199" i="15" s="1"/>
  <c r="ED200" i="15" s="1"/>
  <c r="ED201" i="15" s="1"/>
  <c r="ED202" i="15" s="1"/>
  <c r="ED203" i="15" s="1"/>
  <c r="ED204" i="15" s="1"/>
  <c r="ED205" i="15" s="1"/>
  <c r="ED206" i="15" s="1"/>
  <c r="ED207" i="15" s="1"/>
  <c r="ED208" i="15" s="1"/>
  <c r="ED209" i="15" s="1"/>
  <c r="ED210" i="15" s="1"/>
  <c r="ED211" i="15" s="1"/>
  <c r="ED212" i="15" s="1"/>
  <c r="ED213" i="15" s="1"/>
  <c r="ED214" i="15" s="1"/>
  <c r="ED215" i="15" s="1"/>
  <c r="ED216" i="15" s="1"/>
  <c r="ED217" i="15" s="1"/>
  <c r="ED218" i="15" s="1"/>
  <c r="ED219" i="15" s="1"/>
  <c r="ED220" i="15" s="1"/>
  <c r="ED221" i="15" s="1"/>
  <c r="ED222" i="15" s="1"/>
  <c r="ED223" i="15" s="1"/>
  <c r="ED224" i="15" s="1"/>
  <c r="ED225" i="15" s="1"/>
  <c r="ED226" i="15" s="1"/>
  <c r="ED227" i="15" s="1"/>
  <c r="ED228" i="15" s="1"/>
  <c r="ED229" i="15" s="1"/>
  <c r="ED230" i="15" s="1"/>
  <c r="ED231" i="15" s="1"/>
  <c r="ED232" i="15" s="1"/>
  <c r="ED233" i="15" s="1"/>
  <c r="ED234" i="15" s="1"/>
  <c r="ED235" i="15" s="1"/>
  <c r="ED236" i="15" s="1"/>
  <c r="ED237" i="15" s="1"/>
  <c r="ED238" i="15" s="1"/>
  <c r="ED239" i="15" s="1"/>
  <c r="ED240" i="15" s="1"/>
  <c r="ED241" i="15" s="1"/>
  <c r="ED242" i="15" s="1"/>
  <c r="ED243" i="15" s="1"/>
  <c r="ED244" i="15" s="1"/>
  <c r="ED245" i="15" s="1"/>
  <c r="ED246" i="15" s="1"/>
  <c r="ED247" i="15" s="1"/>
  <c r="ED248" i="15" s="1"/>
  <c r="ED249" i="15" s="1"/>
  <c r="ED250" i="15" s="1"/>
  <c r="ED251" i="15" s="1"/>
  <c r="ED252" i="15" s="1"/>
  <c r="ED253" i="15" s="1"/>
  <c r="ED254" i="15" s="1"/>
  <c r="ED255" i="15" s="1"/>
  <c r="ED256" i="15" s="1"/>
  <c r="ED257" i="15" s="1"/>
  <c r="ED258" i="15" s="1"/>
  <c r="ED259" i="15" s="1"/>
  <c r="ED260" i="15" s="1"/>
  <c r="ED261" i="15" s="1"/>
  <c r="ED262" i="15" s="1"/>
  <c r="ED263" i="15" s="1"/>
  <c r="ED264" i="15" s="1"/>
  <c r="ED265" i="15" s="1"/>
  <c r="ED266" i="15" s="1"/>
  <c r="ED267" i="15" s="1"/>
  <c r="ED268" i="15" s="1"/>
  <c r="ED269" i="15" s="1"/>
  <c r="ED270" i="15" s="1"/>
  <c r="ED271" i="15" s="1"/>
  <c r="ED272" i="15" s="1"/>
  <c r="ED273" i="15" s="1"/>
  <c r="ED274" i="15" s="1"/>
  <c r="ED275" i="15" s="1"/>
  <c r="ED276" i="15" s="1"/>
  <c r="ED277" i="15" s="1"/>
  <c r="ED278" i="15" s="1"/>
  <c r="ED279" i="15" s="1"/>
  <c r="ED280" i="15" s="1"/>
  <c r="ED281" i="15" s="1"/>
  <c r="ED282" i="15" s="1"/>
  <c r="ED283" i="15" s="1"/>
  <c r="ED284" i="15" s="1"/>
  <c r="ED285" i="15" s="1"/>
  <c r="ED286" i="15" s="1"/>
  <c r="ED287" i="15" s="1"/>
  <c r="ED288" i="15" s="1"/>
  <c r="ED289" i="15" s="1"/>
  <c r="ED290" i="15" s="1"/>
  <c r="ED291" i="15" s="1"/>
  <c r="ED292" i="15" s="1"/>
  <c r="ED293" i="15" s="1"/>
  <c r="ED294" i="15" s="1"/>
  <c r="ED295" i="15" s="1"/>
  <c r="ED296" i="15" s="1"/>
  <c r="ED297" i="15" s="1"/>
  <c r="ED298" i="15" s="1"/>
  <c r="ED299" i="15" s="1"/>
  <c r="ED300" i="15" s="1"/>
  <c r="ED301" i="15" s="1"/>
  <c r="EL9" i="15"/>
  <c r="EL10" i="15" s="1"/>
  <c r="EL11" i="15" s="1"/>
  <c r="EL12" i="15" s="1"/>
  <c r="EL13" i="15" s="1"/>
  <c r="EL14" i="15" s="1"/>
  <c r="EL15" i="15" s="1"/>
  <c r="EL16" i="15" s="1"/>
  <c r="EL17" i="15" s="1"/>
  <c r="EL18" i="15" s="1"/>
  <c r="EL19" i="15" s="1"/>
  <c r="EL20" i="15" s="1"/>
  <c r="EL21" i="15" s="1"/>
  <c r="EL22" i="15" s="1"/>
  <c r="EL23" i="15" s="1"/>
  <c r="EL24" i="15" s="1"/>
  <c r="EL25" i="15" s="1"/>
  <c r="EL26" i="15" s="1"/>
  <c r="EL27" i="15" s="1"/>
  <c r="EL28" i="15" s="1"/>
  <c r="EL29" i="15" s="1"/>
  <c r="EL30" i="15" s="1"/>
  <c r="EL31" i="15" s="1"/>
  <c r="EL32" i="15" s="1"/>
  <c r="EL33" i="15" s="1"/>
  <c r="EL34" i="15" s="1"/>
  <c r="EL35" i="15" s="1"/>
  <c r="EL36" i="15" s="1"/>
  <c r="EL37" i="15" s="1"/>
  <c r="EL38" i="15" s="1"/>
  <c r="EL39" i="15" s="1"/>
  <c r="EL40" i="15" s="1"/>
  <c r="EL41" i="15" s="1"/>
  <c r="EL42" i="15" s="1"/>
  <c r="EL43" i="15" s="1"/>
  <c r="EL44" i="15" s="1"/>
  <c r="EL45" i="15" s="1"/>
  <c r="EL46" i="15" s="1"/>
  <c r="EL47" i="15" s="1"/>
  <c r="EL48" i="15" s="1"/>
  <c r="EL49" i="15" s="1"/>
  <c r="EL50" i="15" s="1"/>
  <c r="EL51" i="15" s="1"/>
  <c r="EL52" i="15" s="1"/>
  <c r="EL53" i="15" s="1"/>
  <c r="EL54" i="15" s="1"/>
  <c r="EL55" i="15" s="1"/>
  <c r="EL56" i="15" s="1"/>
  <c r="EL57" i="15" s="1"/>
  <c r="EL58" i="15" s="1"/>
  <c r="EL59" i="15" s="1"/>
  <c r="EL60" i="15" s="1"/>
  <c r="EL61" i="15" s="1"/>
  <c r="EL62" i="15" s="1"/>
  <c r="EL63" i="15" s="1"/>
  <c r="EL64" i="15" s="1"/>
  <c r="EL65" i="15" s="1"/>
  <c r="EL66" i="15" s="1"/>
  <c r="EL67" i="15" s="1"/>
  <c r="EL68" i="15" s="1"/>
  <c r="EL69" i="15" s="1"/>
  <c r="EL70" i="15" s="1"/>
  <c r="EL71" i="15" s="1"/>
  <c r="EL72" i="15" s="1"/>
  <c r="EL73" i="15" s="1"/>
  <c r="EL74" i="15" s="1"/>
  <c r="EL75" i="15" s="1"/>
  <c r="EL76" i="15" s="1"/>
  <c r="EL77" i="15" s="1"/>
  <c r="EL78" i="15" s="1"/>
  <c r="EL79" i="15" s="1"/>
  <c r="EL80" i="15" s="1"/>
  <c r="EL81" i="15" s="1"/>
  <c r="EL82" i="15" s="1"/>
  <c r="EL83" i="15" s="1"/>
  <c r="EL84" i="15" s="1"/>
  <c r="EL85" i="15" s="1"/>
  <c r="EL86" i="15" s="1"/>
  <c r="EL87" i="15" s="1"/>
  <c r="EL88" i="15" s="1"/>
  <c r="EL89" i="15" s="1"/>
  <c r="EL90" i="15" s="1"/>
  <c r="EL91" i="15" s="1"/>
  <c r="EL92" i="15" s="1"/>
  <c r="EL93" i="15" s="1"/>
  <c r="EL94" i="15" s="1"/>
  <c r="EL95" i="15" s="1"/>
  <c r="EL96" i="15" s="1"/>
  <c r="EL97" i="15" s="1"/>
  <c r="EL98" i="15" s="1"/>
  <c r="EL99" i="15" s="1"/>
  <c r="EL100" i="15" s="1"/>
  <c r="EL101" i="15" s="1"/>
  <c r="EL102" i="15" s="1"/>
  <c r="EL103" i="15" s="1"/>
  <c r="EL104" i="15" s="1"/>
  <c r="EL105" i="15" s="1"/>
  <c r="EL106" i="15" s="1"/>
  <c r="EL107" i="15" s="1"/>
  <c r="EL108" i="15" s="1"/>
  <c r="EL109" i="15" s="1"/>
  <c r="EL110" i="15" s="1"/>
  <c r="EL111" i="15" s="1"/>
  <c r="EL112" i="15" s="1"/>
  <c r="EL113" i="15" s="1"/>
  <c r="EL114" i="15" s="1"/>
  <c r="EL115" i="15" s="1"/>
  <c r="EL116" i="15" s="1"/>
  <c r="EL117" i="15" s="1"/>
  <c r="EL118" i="15" s="1"/>
  <c r="EL119" i="15" s="1"/>
  <c r="EL120" i="15" s="1"/>
  <c r="EL121" i="15" s="1"/>
  <c r="EL122" i="15" s="1"/>
  <c r="EL123" i="15" s="1"/>
  <c r="EL124" i="15" s="1"/>
  <c r="EL125" i="15" s="1"/>
  <c r="EL126" i="15" s="1"/>
  <c r="EL127" i="15" s="1"/>
  <c r="EL128" i="15" s="1"/>
  <c r="EL129" i="15" s="1"/>
  <c r="EL130" i="15" s="1"/>
  <c r="EL131" i="15" s="1"/>
  <c r="EL132" i="15" s="1"/>
  <c r="EL133" i="15" s="1"/>
  <c r="EL134" i="15" s="1"/>
  <c r="EL135" i="15" s="1"/>
  <c r="EL136" i="15" s="1"/>
  <c r="EL137" i="15" s="1"/>
  <c r="EL138" i="15" s="1"/>
  <c r="EL139" i="15" s="1"/>
  <c r="EL140" i="15" s="1"/>
  <c r="EL141" i="15" s="1"/>
  <c r="EL142" i="15" s="1"/>
  <c r="EL143" i="15" s="1"/>
  <c r="EL144" i="15" s="1"/>
  <c r="EL145" i="15" s="1"/>
  <c r="EL146" i="15" s="1"/>
  <c r="EL147" i="15" s="1"/>
  <c r="EL148" i="15" s="1"/>
  <c r="EL149" i="15" s="1"/>
  <c r="EL150" i="15" s="1"/>
  <c r="EL151" i="15" s="1"/>
  <c r="EL152" i="15" s="1"/>
  <c r="EL153" i="15" s="1"/>
  <c r="EL154" i="15" s="1"/>
  <c r="EL155" i="15" s="1"/>
  <c r="EL156" i="15" s="1"/>
  <c r="EL157" i="15" s="1"/>
  <c r="EL158" i="15" s="1"/>
  <c r="EL159" i="15" s="1"/>
  <c r="EL160" i="15" s="1"/>
  <c r="EL161" i="15" s="1"/>
  <c r="EL162" i="15" s="1"/>
  <c r="EL163" i="15" s="1"/>
  <c r="EL164" i="15" s="1"/>
  <c r="EL165" i="15" s="1"/>
  <c r="EL166" i="15" s="1"/>
  <c r="EL167" i="15" s="1"/>
  <c r="EL168" i="15" s="1"/>
  <c r="EL169" i="15" s="1"/>
  <c r="EL170" i="15" s="1"/>
  <c r="EL171" i="15" s="1"/>
  <c r="EL172" i="15" s="1"/>
  <c r="EL173" i="15" s="1"/>
  <c r="EL174" i="15" s="1"/>
  <c r="EL175" i="15" s="1"/>
  <c r="EL176" i="15" s="1"/>
  <c r="EL177" i="15" s="1"/>
  <c r="EL178" i="15" s="1"/>
  <c r="EL179" i="15" s="1"/>
  <c r="EL180" i="15" s="1"/>
  <c r="EL181" i="15" s="1"/>
  <c r="EL182" i="15" s="1"/>
  <c r="EL183" i="15" s="1"/>
  <c r="EL184" i="15" s="1"/>
  <c r="EL185" i="15" s="1"/>
  <c r="EL186" i="15" s="1"/>
  <c r="EL187" i="15" s="1"/>
  <c r="EL188" i="15" s="1"/>
  <c r="EL189" i="15" s="1"/>
  <c r="EL190" i="15" s="1"/>
  <c r="EL191" i="15" s="1"/>
  <c r="EL192" i="15" s="1"/>
  <c r="EL193" i="15" s="1"/>
  <c r="EL194" i="15" s="1"/>
  <c r="EL195" i="15" s="1"/>
  <c r="EL196" i="15" s="1"/>
  <c r="EL197" i="15" s="1"/>
  <c r="EL198" i="15" s="1"/>
  <c r="EL199" i="15" s="1"/>
  <c r="EL200" i="15" s="1"/>
  <c r="EL201" i="15" s="1"/>
  <c r="EL202" i="15" s="1"/>
  <c r="EL203" i="15" s="1"/>
  <c r="EL204" i="15" s="1"/>
  <c r="EL205" i="15" s="1"/>
  <c r="EL206" i="15" s="1"/>
  <c r="EL207" i="15" s="1"/>
  <c r="EL208" i="15" s="1"/>
  <c r="EL209" i="15" s="1"/>
  <c r="EL210" i="15" s="1"/>
  <c r="EL211" i="15" s="1"/>
  <c r="EL212" i="15" s="1"/>
  <c r="EL213" i="15" s="1"/>
  <c r="EL214" i="15" s="1"/>
  <c r="EL215" i="15" s="1"/>
  <c r="EL216" i="15" s="1"/>
  <c r="EL217" i="15" s="1"/>
  <c r="EL218" i="15" s="1"/>
  <c r="EL219" i="15" s="1"/>
  <c r="EL220" i="15" s="1"/>
  <c r="EL221" i="15" s="1"/>
  <c r="EL222" i="15" s="1"/>
  <c r="EL223" i="15" s="1"/>
  <c r="EL224" i="15" s="1"/>
  <c r="EL225" i="15" s="1"/>
  <c r="EL226" i="15" s="1"/>
  <c r="EL227" i="15" s="1"/>
  <c r="EL228" i="15" s="1"/>
  <c r="EL229" i="15" s="1"/>
  <c r="EL230" i="15" s="1"/>
  <c r="EL231" i="15" s="1"/>
  <c r="EL232" i="15" s="1"/>
  <c r="EL233" i="15" s="1"/>
  <c r="EL234" i="15" s="1"/>
  <c r="EL235" i="15" s="1"/>
  <c r="EL236" i="15" s="1"/>
  <c r="EL237" i="15" s="1"/>
  <c r="EL238" i="15" s="1"/>
  <c r="EL239" i="15" s="1"/>
  <c r="EL240" i="15" s="1"/>
  <c r="EL241" i="15" s="1"/>
  <c r="EL242" i="15" s="1"/>
  <c r="EL243" i="15" s="1"/>
  <c r="EL244" i="15" s="1"/>
  <c r="EL245" i="15" s="1"/>
  <c r="EL246" i="15" s="1"/>
  <c r="EL247" i="15" s="1"/>
  <c r="EL248" i="15" s="1"/>
  <c r="EL249" i="15" s="1"/>
  <c r="EL250" i="15" s="1"/>
  <c r="EL251" i="15" s="1"/>
  <c r="EL252" i="15" s="1"/>
  <c r="EL253" i="15" s="1"/>
  <c r="EL254" i="15" s="1"/>
  <c r="EL255" i="15" s="1"/>
  <c r="EL256" i="15" s="1"/>
  <c r="EL257" i="15" s="1"/>
  <c r="EL258" i="15" s="1"/>
  <c r="EL259" i="15" s="1"/>
  <c r="EL260" i="15" s="1"/>
  <c r="EL261" i="15" s="1"/>
  <c r="EL262" i="15" s="1"/>
  <c r="EL263" i="15" s="1"/>
  <c r="EL264" i="15" s="1"/>
  <c r="EL265" i="15" s="1"/>
  <c r="EL266" i="15" s="1"/>
  <c r="EL267" i="15" s="1"/>
  <c r="EL268" i="15" s="1"/>
  <c r="EL269" i="15" s="1"/>
  <c r="EL270" i="15" s="1"/>
  <c r="EL271" i="15" s="1"/>
  <c r="EL272" i="15" s="1"/>
  <c r="EL273" i="15" s="1"/>
  <c r="EL274" i="15" s="1"/>
  <c r="EL275" i="15" s="1"/>
  <c r="EL276" i="15" s="1"/>
  <c r="EL277" i="15" s="1"/>
  <c r="EL278" i="15" s="1"/>
  <c r="EL279" i="15" s="1"/>
  <c r="EL280" i="15" s="1"/>
  <c r="EL281" i="15" s="1"/>
  <c r="EL282" i="15" s="1"/>
  <c r="EL283" i="15" s="1"/>
  <c r="EL284" i="15" s="1"/>
  <c r="EL285" i="15" s="1"/>
  <c r="EL286" i="15" s="1"/>
  <c r="EL287" i="15" s="1"/>
  <c r="EL288" i="15" s="1"/>
  <c r="EL289" i="15" s="1"/>
  <c r="EL290" i="15" s="1"/>
  <c r="EL291" i="15" s="1"/>
  <c r="EL292" i="15" s="1"/>
  <c r="EL293" i="15" s="1"/>
  <c r="EL294" i="15" s="1"/>
  <c r="EL295" i="15" s="1"/>
  <c r="EL296" i="15" s="1"/>
  <c r="EL297" i="15" s="1"/>
  <c r="EL298" i="15" s="1"/>
  <c r="EL299" i="15" s="1"/>
  <c r="EL300" i="15" s="1"/>
  <c r="EL301" i="15" s="1"/>
  <c r="DV9" i="15"/>
  <c r="DV10" i="15" s="1"/>
  <c r="DV11" i="15" s="1"/>
  <c r="DV12" i="15" s="1"/>
  <c r="DV13" i="15" s="1"/>
  <c r="DV14" i="15" s="1"/>
  <c r="DV15" i="15" s="1"/>
  <c r="DV16" i="15" s="1"/>
  <c r="DV17" i="15" s="1"/>
  <c r="DV18" i="15" s="1"/>
  <c r="DV19" i="15" s="1"/>
  <c r="DV20" i="15" s="1"/>
  <c r="DV21" i="15" s="1"/>
  <c r="DV22" i="15" s="1"/>
  <c r="DV23" i="15" s="1"/>
  <c r="DV24" i="15" s="1"/>
  <c r="DV25" i="15" s="1"/>
  <c r="DV26" i="15" s="1"/>
  <c r="DV27" i="15" s="1"/>
  <c r="DV28" i="15" s="1"/>
  <c r="DV29" i="15" s="1"/>
  <c r="DV30" i="15" s="1"/>
  <c r="DV31" i="15" s="1"/>
  <c r="DV32" i="15" s="1"/>
  <c r="DV33" i="15" s="1"/>
  <c r="DV34" i="15" s="1"/>
  <c r="DV35" i="15" s="1"/>
  <c r="DV36" i="15" s="1"/>
  <c r="DV37" i="15" s="1"/>
  <c r="DV38" i="15" s="1"/>
  <c r="DV39" i="15" s="1"/>
  <c r="DV40" i="15" s="1"/>
  <c r="DV41" i="15" s="1"/>
  <c r="DV42" i="15" s="1"/>
  <c r="DV43" i="15" s="1"/>
  <c r="DV44" i="15" s="1"/>
  <c r="DV45" i="15" s="1"/>
  <c r="DV46" i="15" s="1"/>
  <c r="DV47" i="15" s="1"/>
  <c r="DV48" i="15" s="1"/>
  <c r="DV49" i="15" s="1"/>
  <c r="DV50" i="15" s="1"/>
  <c r="DV51" i="15" s="1"/>
  <c r="DV52" i="15" s="1"/>
  <c r="DV53" i="15" s="1"/>
  <c r="DV54" i="15" s="1"/>
  <c r="DV55" i="15" s="1"/>
  <c r="DV56" i="15" s="1"/>
  <c r="DV57" i="15" s="1"/>
  <c r="DV58" i="15" s="1"/>
  <c r="DV59" i="15" s="1"/>
  <c r="DV60" i="15" s="1"/>
  <c r="DV61" i="15" s="1"/>
  <c r="DV62" i="15" s="1"/>
  <c r="DV63" i="15" s="1"/>
  <c r="DV64" i="15" s="1"/>
  <c r="DV65" i="15" s="1"/>
  <c r="DV66" i="15" s="1"/>
  <c r="DV67" i="15" s="1"/>
  <c r="DV68" i="15" s="1"/>
  <c r="DV69" i="15" s="1"/>
  <c r="DV70" i="15" s="1"/>
  <c r="DV71" i="15" s="1"/>
  <c r="DV72" i="15" s="1"/>
  <c r="DV73" i="15" s="1"/>
  <c r="DV74" i="15" s="1"/>
  <c r="DV75" i="15" s="1"/>
  <c r="DV76" i="15" s="1"/>
  <c r="DV77" i="15" s="1"/>
  <c r="DV78" i="15" s="1"/>
  <c r="DV79" i="15" s="1"/>
  <c r="DV80" i="15" s="1"/>
  <c r="DV81" i="15" s="1"/>
  <c r="DV82" i="15" s="1"/>
  <c r="DV83" i="15" s="1"/>
  <c r="DV84" i="15" s="1"/>
  <c r="DV85" i="15" s="1"/>
  <c r="DV86" i="15" s="1"/>
  <c r="DV87" i="15" s="1"/>
  <c r="DV88" i="15" s="1"/>
  <c r="DV89" i="15" s="1"/>
  <c r="DV90" i="15" s="1"/>
  <c r="DV91" i="15" s="1"/>
  <c r="DV92" i="15" s="1"/>
  <c r="DV93" i="15" s="1"/>
  <c r="DV94" i="15" s="1"/>
  <c r="DV95" i="15" s="1"/>
  <c r="DV96" i="15" s="1"/>
  <c r="DV97" i="15" s="1"/>
  <c r="DV98" i="15" s="1"/>
  <c r="DV99" i="15" s="1"/>
  <c r="DV100" i="15" s="1"/>
  <c r="DV101" i="15" s="1"/>
  <c r="DV102" i="15" s="1"/>
  <c r="DV103" i="15" s="1"/>
  <c r="DV104" i="15" s="1"/>
  <c r="DV105" i="15" s="1"/>
  <c r="DV106" i="15" s="1"/>
  <c r="DV107" i="15" s="1"/>
  <c r="DV108" i="15" s="1"/>
  <c r="DV109" i="15" s="1"/>
  <c r="DV110" i="15" s="1"/>
  <c r="DV111" i="15" s="1"/>
  <c r="DV112" i="15" s="1"/>
  <c r="DV113" i="15" s="1"/>
  <c r="DV114" i="15" s="1"/>
  <c r="DV115" i="15" s="1"/>
  <c r="DV116" i="15" s="1"/>
  <c r="DV117" i="15" s="1"/>
  <c r="DV118" i="15" s="1"/>
  <c r="DV119" i="15" s="1"/>
  <c r="DV120" i="15" s="1"/>
  <c r="DV121" i="15" s="1"/>
  <c r="DV122" i="15" s="1"/>
  <c r="DV123" i="15" s="1"/>
  <c r="DV124" i="15" s="1"/>
  <c r="DV125" i="15" s="1"/>
  <c r="DV126" i="15" s="1"/>
  <c r="DV127" i="15" s="1"/>
  <c r="DV128" i="15" s="1"/>
  <c r="DV129" i="15" s="1"/>
  <c r="DV130" i="15" s="1"/>
  <c r="DV131" i="15" s="1"/>
  <c r="DV132" i="15" s="1"/>
  <c r="DV133" i="15" s="1"/>
  <c r="DV134" i="15" s="1"/>
  <c r="DV135" i="15" s="1"/>
  <c r="DV136" i="15" s="1"/>
  <c r="DV137" i="15" s="1"/>
  <c r="DV138" i="15" s="1"/>
  <c r="DV139" i="15" s="1"/>
  <c r="DV140" i="15" s="1"/>
  <c r="DV141" i="15" s="1"/>
  <c r="DV142" i="15" s="1"/>
  <c r="DV143" i="15" s="1"/>
  <c r="DV144" i="15" s="1"/>
  <c r="DV145" i="15" s="1"/>
  <c r="DV146" i="15" s="1"/>
  <c r="DV147" i="15" s="1"/>
  <c r="DV148" i="15" s="1"/>
  <c r="DV149" i="15" s="1"/>
  <c r="DV150" i="15" s="1"/>
  <c r="DV151" i="15" s="1"/>
  <c r="DV152" i="15" s="1"/>
  <c r="DV153" i="15" s="1"/>
  <c r="DV154" i="15" s="1"/>
  <c r="DV155" i="15" s="1"/>
  <c r="DV156" i="15" s="1"/>
  <c r="DV157" i="15" s="1"/>
  <c r="DV158" i="15" s="1"/>
  <c r="DV159" i="15" s="1"/>
  <c r="DV160" i="15" s="1"/>
  <c r="DV161" i="15" s="1"/>
  <c r="DV162" i="15" s="1"/>
  <c r="DV163" i="15" s="1"/>
  <c r="DV164" i="15" s="1"/>
  <c r="DV165" i="15" s="1"/>
  <c r="DV166" i="15" s="1"/>
  <c r="DV167" i="15" s="1"/>
  <c r="DV168" i="15" s="1"/>
  <c r="DV169" i="15" s="1"/>
  <c r="DV170" i="15" s="1"/>
  <c r="DV171" i="15" s="1"/>
  <c r="DV172" i="15" s="1"/>
  <c r="DV173" i="15" s="1"/>
  <c r="DV174" i="15" s="1"/>
  <c r="DV175" i="15" s="1"/>
  <c r="DV176" i="15" s="1"/>
  <c r="DV177" i="15" s="1"/>
  <c r="DV178" i="15" s="1"/>
  <c r="DV179" i="15" s="1"/>
  <c r="DV180" i="15" s="1"/>
  <c r="DV181" i="15" s="1"/>
  <c r="DV182" i="15" s="1"/>
  <c r="DV183" i="15" s="1"/>
  <c r="DV184" i="15" s="1"/>
  <c r="DV185" i="15" s="1"/>
  <c r="DV186" i="15" s="1"/>
  <c r="DV187" i="15" s="1"/>
  <c r="DV188" i="15" s="1"/>
  <c r="DV189" i="15" s="1"/>
  <c r="DV190" i="15" s="1"/>
  <c r="DV191" i="15" s="1"/>
  <c r="DV192" i="15" s="1"/>
  <c r="DV193" i="15" s="1"/>
  <c r="DV194" i="15" s="1"/>
  <c r="DV195" i="15" s="1"/>
  <c r="DV196" i="15" s="1"/>
  <c r="DV197" i="15" s="1"/>
  <c r="DV198" i="15" s="1"/>
  <c r="DV199" i="15" s="1"/>
  <c r="DV200" i="15" s="1"/>
  <c r="DV201" i="15" s="1"/>
  <c r="DV202" i="15" s="1"/>
  <c r="DV203" i="15" s="1"/>
  <c r="DV204" i="15" s="1"/>
  <c r="DV205" i="15" s="1"/>
  <c r="DV206" i="15" s="1"/>
  <c r="DV207" i="15" s="1"/>
  <c r="DV208" i="15" s="1"/>
  <c r="DV209" i="15" s="1"/>
  <c r="DV210" i="15" s="1"/>
  <c r="DV211" i="15" s="1"/>
  <c r="DV212" i="15" s="1"/>
  <c r="DV213" i="15" s="1"/>
  <c r="DV214" i="15" s="1"/>
  <c r="DV215" i="15" s="1"/>
  <c r="DV216" i="15" s="1"/>
  <c r="DV217" i="15" s="1"/>
  <c r="DV218" i="15" s="1"/>
  <c r="DV219" i="15" s="1"/>
  <c r="DV220" i="15" s="1"/>
  <c r="DV221" i="15" s="1"/>
  <c r="DV222" i="15" s="1"/>
  <c r="DV223" i="15" s="1"/>
  <c r="DV224" i="15" s="1"/>
  <c r="DV225" i="15" s="1"/>
  <c r="DV226" i="15" s="1"/>
  <c r="DV227" i="15" s="1"/>
  <c r="DV228" i="15" s="1"/>
  <c r="DV229" i="15" s="1"/>
  <c r="DV230" i="15" s="1"/>
  <c r="DV231" i="15" s="1"/>
  <c r="DV232" i="15" s="1"/>
  <c r="DV233" i="15" s="1"/>
  <c r="DV234" i="15" s="1"/>
  <c r="DV235" i="15" s="1"/>
  <c r="DV236" i="15" s="1"/>
  <c r="DV237" i="15" s="1"/>
  <c r="DV238" i="15" s="1"/>
  <c r="DV239" i="15" s="1"/>
  <c r="DV240" i="15" s="1"/>
  <c r="DV241" i="15" s="1"/>
  <c r="DV242" i="15" s="1"/>
  <c r="DV243" i="15" s="1"/>
  <c r="DV244" i="15" s="1"/>
  <c r="DV245" i="15" s="1"/>
  <c r="DV246" i="15" s="1"/>
  <c r="DV247" i="15" s="1"/>
  <c r="DV248" i="15" s="1"/>
  <c r="DV249" i="15" s="1"/>
  <c r="DV250" i="15" s="1"/>
  <c r="DV251" i="15" s="1"/>
  <c r="DV252" i="15" s="1"/>
  <c r="DV253" i="15" s="1"/>
  <c r="DV254" i="15" s="1"/>
  <c r="DV255" i="15" s="1"/>
  <c r="DV256" i="15" s="1"/>
  <c r="DV257" i="15" s="1"/>
  <c r="DV258" i="15" s="1"/>
  <c r="DV259" i="15" s="1"/>
  <c r="DV260" i="15" s="1"/>
  <c r="DV261" i="15" s="1"/>
  <c r="DV262" i="15" s="1"/>
  <c r="DV263" i="15" s="1"/>
  <c r="DV264" i="15" s="1"/>
  <c r="DV265" i="15" s="1"/>
  <c r="DV266" i="15" s="1"/>
  <c r="DV267" i="15" s="1"/>
  <c r="DV268" i="15" s="1"/>
  <c r="DV269" i="15" s="1"/>
  <c r="DV270" i="15" s="1"/>
  <c r="DV271" i="15" s="1"/>
  <c r="DV272" i="15" s="1"/>
  <c r="DV273" i="15" s="1"/>
  <c r="DV274" i="15" s="1"/>
  <c r="DV275" i="15" s="1"/>
  <c r="DV276" i="15" s="1"/>
  <c r="DV277" i="15" s="1"/>
  <c r="DV278" i="15" s="1"/>
  <c r="DV279" i="15" s="1"/>
  <c r="DV280" i="15" s="1"/>
  <c r="DV281" i="15" s="1"/>
  <c r="DV282" i="15" s="1"/>
  <c r="DV283" i="15" s="1"/>
  <c r="DV284" i="15" s="1"/>
  <c r="DV285" i="15" s="1"/>
  <c r="DV286" i="15" s="1"/>
  <c r="DV287" i="15" s="1"/>
  <c r="DV288" i="15" s="1"/>
  <c r="DV289" i="15" s="1"/>
  <c r="DV290" i="15" s="1"/>
  <c r="DV291" i="15" s="1"/>
  <c r="DV292" i="15" s="1"/>
  <c r="DV293" i="15" s="1"/>
  <c r="DV294" i="15" s="1"/>
  <c r="DV295" i="15" s="1"/>
  <c r="DV296" i="15" s="1"/>
  <c r="DV297" i="15" s="1"/>
  <c r="DV298" i="15" s="1"/>
  <c r="DV299" i="15" s="1"/>
  <c r="DV300" i="15" s="1"/>
  <c r="DV301" i="15" s="1"/>
  <c r="DV302" i="15"/>
  <c r="DV303" i="15" s="1"/>
  <c r="EN9" i="15" l="1"/>
  <c r="G12" i="15"/>
  <c r="EN11" i="15"/>
  <c r="EN10" i="15"/>
  <c r="G13" i="15" l="1"/>
  <c r="EN12" i="15"/>
  <c r="G14" i="15" l="1"/>
  <c r="EN13" i="15"/>
  <c r="G15" i="15" l="1"/>
  <c r="EN14" i="15"/>
  <c r="G16" i="15" l="1"/>
  <c r="EN15" i="15"/>
  <c r="G17" i="15" l="1"/>
  <c r="EN16" i="15"/>
  <c r="G18" i="15" l="1"/>
  <c r="EN17" i="15"/>
  <c r="G19" i="15" l="1"/>
  <c r="EN18" i="15"/>
  <c r="G20" i="15" l="1"/>
  <c r="EN19" i="15"/>
  <c r="G21" i="15" l="1"/>
  <c r="EN20" i="15"/>
  <c r="G22" i="15" l="1"/>
  <c r="EN21" i="15"/>
  <c r="G23" i="15" l="1"/>
  <c r="EN22" i="15"/>
  <c r="G24" i="15" l="1"/>
  <c r="EN23" i="15"/>
  <c r="G25" i="15" l="1"/>
  <c r="EN24" i="15"/>
  <c r="G26" i="15" l="1"/>
  <c r="EN25" i="15"/>
  <c r="G27" i="15" l="1"/>
  <c r="EN26" i="15"/>
  <c r="G28" i="15" l="1"/>
  <c r="EN27" i="15"/>
  <c r="G29" i="15" l="1"/>
  <c r="EN28" i="15"/>
  <c r="G30" i="15" l="1"/>
  <c r="EN29" i="15"/>
  <c r="G31" i="15" l="1"/>
  <c r="EN30" i="15"/>
  <c r="G32" i="15" l="1"/>
  <c r="EN31" i="15"/>
  <c r="G33" i="15" l="1"/>
  <c r="EN32" i="15"/>
  <c r="G34" i="15" l="1"/>
  <c r="EN33" i="15"/>
  <c r="G35" i="15" l="1"/>
  <c r="EN34" i="15"/>
  <c r="G36" i="15" l="1"/>
  <c r="EN35" i="15"/>
  <c r="G37" i="15" l="1"/>
  <c r="EN36" i="15"/>
  <c r="G38" i="15" l="1"/>
  <c r="EN37" i="15"/>
  <c r="G39" i="15" l="1"/>
  <c r="EN38" i="15"/>
  <c r="G40" i="15" l="1"/>
  <c r="EN39" i="15"/>
  <c r="G41" i="15" l="1"/>
  <c r="EN40" i="15"/>
  <c r="G42" i="15" l="1"/>
  <c r="EN41" i="15"/>
  <c r="G43" i="15" l="1"/>
  <c r="EN42" i="15"/>
  <c r="G44" i="15" l="1"/>
  <c r="EN43" i="15"/>
  <c r="G45" i="15" l="1"/>
  <c r="EN44" i="15"/>
  <c r="G46" i="15" l="1"/>
  <c r="EN45" i="15"/>
  <c r="G47" i="15" l="1"/>
  <c r="EN46" i="15"/>
  <c r="G48" i="15" l="1"/>
  <c r="EN47" i="15"/>
  <c r="G49" i="15" l="1"/>
  <c r="EN48" i="15"/>
  <c r="G50" i="15" l="1"/>
  <c r="EN49" i="15"/>
  <c r="G51" i="15" l="1"/>
  <c r="EN50" i="15"/>
  <c r="G52" i="15" l="1"/>
  <c r="EN51" i="15"/>
  <c r="G53" i="15" l="1"/>
  <c r="EN52" i="15"/>
  <c r="G54" i="15" l="1"/>
  <c r="EN53" i="15"/>
  <c r="G55" i="15" l="1"/>
  <c r="EN54" i="15"/>
  <c r="G56" i="15" l="1"/>
  <c r="EN55" i="15"/>
  <c r="G57" i="15" l="1"/>
  <c r="EN56" i="15"/>
  <c r="G58" i="15" l="1"/>
  <c r="EN57" i="15"/>
  <c r="G59" i="15" l="1"/>
  <c r="EN58" i="15"/>
  <c r="G60" i="15" l="1"/>
  <c r="EN59" i="15"/>
  <c r="EN60" i="15" l="1"/>
  <c r="G61" i="15"/>
  <c r="G62" i="15" l="1"/>
  <c r="EN61" i="15"/>
  <c r="G63" i="15" l="1"/>
  <c r="EN62" i="15"/>
  <c r="G64" i="15" l="1"/>
  <c r="EN63" i="15"/>
  <c r="G65" i="15" l="1"/>
  <c r="EN64" i="15"/>
  <c r="G66" i="15" l="1"/>
  <c r="EN65" i="15"/>
  <c r="G67" i="15" l="1"/>
  <c r="EN66" i="15"/>
  <c r="G68" i="15" l="1"/>
  <c r="EN67" i="15"/>
  <c r="G69" i="15" l="1"/>
  <c r="EN68" i="15"/>
  <c r="G70" i="15" l="1"/>
  <c r="EN69" i="15"/>
  <c r="G71" i="15" l="1"/>
  <c r="EN70" i="15"/>
  <c r="G72" i="15" l="1"/>
  <c r="EN71" i="15"/>
  <c r="G73" i="15" l="1"/>
  <c r="EN72" i="15"/>
  <c r="G74" i="15" l="1"/>
  <c r="EN73" i="15"/>
  <c r="G75" i="15" l="1"/>
  <c r="EN74" i="15"/>
  <c r="G76" i="15" l="1"/>
  <c r="EN75" i="15"/>
  <c r="G77" i="15" l="1"/>
  <c r="EN76" i="15"/>
  <c r="G78" i="15" l="1"/>
  <c r="EN77" i="15"/>
  <c r="G79" i="15" l="1"/>
  <c r="EN78" i="15"/>
  <c r="G80" i="15" l="1"/>
  <c r="EN79" i="15"/>
  <c r="G81" i="15" l="1"/>
  <c r="EN80" i="15"/>
  <c r="G82" i="15" l="1"/>
  <c r="EN81" i="15"/>
  <c r="G83" i="15" l="1"/>
  <c r="EN82" i="15"/>
  <c r="G84" i="15" l="1"/>
  <c r="EN83" i="15"/>
  <c r="G85" i="15" l="1"/>
  <c r="EN84" i="15"/>
  <c r="G86" i="15" l="1"/>
  <c r="EN85" i="15"/>
  <c r="G87" i="15" l="1"/>
  <c r="EN86" i="15"/>
  <c r="G88" i="15" l="1"/>
  <c r="EN87" i="15"/>
  <c r="G89" i="15" l="1"/>
  <c r="EN88" i="15"/>
  <c r="G90" i="15" l="1"/>
  <c r="EN89" i="15"/>
  <c r="G91" i="15" l="1"/>
  <c r="EN90" i="15"/>
  <c r="G92" i="15" l="1"/>
  <c r="EN91" i="15"/>
  <c r="G93" i="15" l="1"/>
  <c r="EN92" i="15"/>
  <c r="G94" i="15" l="1"/>
  <c r="EN93" i="15"/>
  <c r="G95" i="15" l="1"/>
  <c r="EN94" i="15"/>
  <c r="G96" i="15" l="1"/>
  <c r="EN95" i="15"/>
  <c r="G97" i="15" l="1"/>
  <c r="EN96" i="15"/>
  <c r="G98" i="15" l="1"/>
  <c r="EN97" i="15"/>
  <c r="G99" i="15" l="1"/>
  <c r="EN98" i="15"/>
  <c r="G100" i="15" l="1"/>
  <c r="EN99" i="15"/>
  <c r="G101" i="15" l="1"/>
  <c r="EN100" i="15"/>
  <c r="G102" i="15" l="1"/>
  <c r="EN101" i="15"/>
  <c r="G103" i="15" l="1"/>
  <c r="EN102" i="15"/>
  <c r="G104" i="15" l="1"/>
  <c r="EN103" i="15"/>
  <c r="EN104" i="15" l="1"/>
  <c r="G105" i="15"/>
  <c r="G106" i="15" l="1"/>
  <c r="EN105" i="15"/>
  <c r="G107" i="15" l="1"/>
  <c r="EN106" i="15"/>
  <c r="G108" i="15" l="1"/>
  <c r="EN107" i="15"/>
  <c r="G109" i="15" l="1"/>
  <c r="EN108" i="15"/>
  <c r="G110" i="15" l="1"/>
  <c r="EN109" i="15"/>
  <c r="G111" i="15" l="1"/>
  <c r="EN110" i="15"/>
  <c r="G112" i="15" l="1"/>
  <c r="EN111" i="15"/>
  <c r="G113" i="15" l="1"/>
  <c r="EN112" i="15"/>
  <c r="G114" i="15" l="1"/>
  <c r="EN113" i="15"/>
  <c r="G115" i="15" l="1"/>
  <c r="EN114" i="15"/>
  <c r="G116" i="15" l="1"/>
  <c r="EN115" i="15"/>
  <c r="G117" i="15" l="1"/>
  <c r="EN116" i="15"/>
  <c r="G118" i="15" l="1"/>
  <c r="EN117" i="15"/>
  <c r="G119" i="15" l="1"/>
  <c r="EN118" i="15"/>
  <c r="G120" i="15" l="1"/>
  <c r="EN119" i="15"/>
  <c r="G121" i="15" l="1"/>
  <c r="EN120" i="15"/>
  <c r="G122" i="15" l="1"/>
  <c r="EN121" i="15"/>
  <c r="G123" i="15" l="1"/>
  <c r="EN122" i="15"/>
  <c r="G124" i="15" l="1"/>
  <c r="EN123" i="15"/>
  <c r="G125" i="15" l="1"/>
  <c r="EN124" i="15"/>
  <c r="G126" i="15" l="1"/>
  <c r="EN125" i="15"/>
  <c r="G127" i="15" l="1"/>
  <c r="EN126" i="15"/>
  <c r="G128" i="15" l="1"/>
  <c r="EN127" i="15"/>
  <c r="G129" i="15" l="1"/>
  <c r="EN128" i="15"/>
  <c r="G130" i="15" l="1"/>
  <c r="EN129" i="15"/>
  <c r="G131" i="15" l="1"/>
  <c r="EN130" i="15"/>
  <c r="G132" i="15" l="1"/>
  <c r="EN131" i="15"/>
  <c r="G133" i="15" l="1"/>
  <c r="EN132" i="15"/>
  <c r="G134" i="15" l="1"/>
  <c r="EN133" i="15"/>
  <c r="G135" i="15" l="1"/>
  <c r="EN134" i="15"/>
  <c r="G136" i="15" l="1"/>
  <c r="EN135" i="15"/>
  <c r="G137" i="15" l="1"/>
  <c r="EN136" i="15"/>
  <c r="G138" i="15" l="1"/>
  <c r="EN137" i="15"/>
  <c r="G139" i="15" l="1"/>
  <c r="EN138" i="15"/>
  <c r="G140" i="15" l="1"/>
  <c r="EN139" i="15"/>
  <c r="G141" i="15" l="1"/>
  <c r="EN140" i="15"/>
  <c r="G142" i="15" l="1"/>
  <c r="EN141" i="15"/>
  <c r="G143" i="15" l="1"/>
  <c r="EN142" i="15"/>
  <c r="G144" i="15" l="1"/>
  <c r="EN143" i="15"/>
  <c r="G145" i="15" l="1"/>
  <c r="EN144" i="15"/>
  <c r="G146" i="15" l="1"/>
  <c r="EN145" i="15"/>
  <c r="G147" i="15" l="1"/>
  <c r="EN146" i="15"/>
  <c r="G148" i="15" l="1"/>
  <c r="EN147" i="15"/>
  <c r="G149" i="15" l="1"/>
  <c r="EN148" i="15"/>
  <c r="G150" i="15" l="1"/>
  <c r="EN149" i="15"/>
  <c r="G151" i="15" l="1"/>
  <c r="EN150" i="15"/>
  <c r="G152" i="15" l="1"/>
  <c r="EN151" i="15"/>
  <c r="G153" i="15" l="1"/>
  <c r="EN152" i="15"/>
  <c r="G154" i="15" l="1"/>
  <c r="EN153" i="15"/>
  <c r="G155" i="15" l="1"/>
  <c r="EN154" i="15"/>
  <c r="G156" i="15" l="1"/>
  <c r="EN155" i="15"/>
  <c r="G157" i="15" l="1"/>
  <c r="EN156" i="15"/>
  <c r="G158" i="15" l="1"/>
  <c r="EN157" i="15"/>
  <c r="G159" i="15" l="1"/>
  <c r="EN158" i="15"/>
  <c r="G160" i="15" l="1"/>
  <c r="EN159" i="15"/>
  <c r="G161" i="15" l="1"/>
  <c r="EN160" i="15"/>
  <c r="G162" i="15" l="1"/>
  <c r="EN161" i="15"/>
  <c r="G163" i="15" l="1"/>
  <c r="EN162" i="15"/>
  <c r="G164" i="15" l="1"/>
  <c r="EN163" i="15"/>
  <c r="G165" i="15" l="1"/>
  <c r="EN164" i="15"/>
  <c r="G166" i="15" l="1"/>
  <c r="EN165" i="15"/>
  <c r="G167" i="15" l="1"/>
  <c r="EN166" i="15"/>
  <c r="G168" i="15" l="1"/>
  <c r="EN167" i="15"/>
  <c r="G169" i="15" l="1"/>
  <c r="EN168" i="15"/>
  <c r="G170" i="15" l="1"/>
  <c r="EN169" i="15"/>
  <c r="G171" i="15" l="1"/>
  <c r="EN170" i="15"/>
  <c r="G172" i="15" l="1"/>
  <c r="EN171" i="15"/>
  <c r="G173" i="15" l="1"/>
  <c r="EN172" i="15"/>
  <c r="G174" i="15" l="1"/>
  <c r="EN173" i="15"/>
  <c r="G175" i="15" l="1"/>
  <c r="EN174" i="15"/>
  <c r="G176" i="15" l="1"/>
  <c r="EN175" i="15"/>
  <c r="G177" i="15" l="1"/>
  <c r="EN176" i="15"/>
  <c r="G178" i="15" l="1"/>
  <c r="EN177" i="15"/>
  <c r="G179" i="15" l="1"/>
  <c r="EN178" i="15"/>
  <c r="G180" i="15" l="1"/>
  <c r="EN179" i="15"/>
  <c r="G181" i="15" l="1"/>
  <c r="EN180" i="15"/>
  <c r="G182" i="15" l="1"/>
  <c r="EN181" i="15"/>
  <c r="G183" i="15" l="1"/>
  <c r="EN182" i="15"/>
  <c r="G184" i="15" l="1"/>
  <c r="EN183" i="15"/>
  <c r="G185" i="15" l="1"/>
  <c r="EN184" i="15"/>
  <c r="G186" i="15" l="1"/>
  <c r="EN185" i="15"/>
  <c r="G187" i="15" l="1"/>
  <c r="EN186" i="15"/>
  <c r="G188" i="15" l="1"/>
  <c r="EN187" i="15"/>
  <c r="EN188" i="15" l="1"/>
  <c r="G189" i="15"/>
  <c r="G190" i="15" l="1"/>
  <c r="EN189" i="15"/>
  <c r="G191" i="15" l="1"/>
  <c r="EN190" i="15"/>
  <c r="G192" i="15" l="1"/>
  <c r="EN191" i="15"/>
  <c r="G193" i="15" l="1"/>
  <c r="EN192" i="15"/>
  <c r="G194" i="15" l="1"/>
  <c r="EN193" i="15"/>
  <c r="G195" i="15" l="1"/>
  <c r="EN194" i="15"/>
  <c r="G196" i="15" l="1"/>
  <c r="EN195" i="15"/>
  <c r="G197" i="15" l="1"/>
  <c r="EN196" i="15"/>
  <c r="G198" i="15" l="1"/>
  <c r="EN197" i="15"/>
  <c r="G199" i="15" l="1"/>
  <c r="EN198" i="15"/>
  <c r="G200" i="15" l="1"/>
  <c r="EN199" i="15"/>
  <c r="G201" i="15" l="1"/>
  <c r="EN200" i="15"/>
  <c r="G202" i="15" l="1"/>
  <c r="EN201" i="15"/>
  <c r="G203" i="15" l="1"/>
  <c r="EN202" i="15"/>
  <c r="G204" i="15" l="1"/>
  <c r="EN203" i="15"/>
  <c r="G205" i="15" l="1"/>
  <c r="EN204" i="15"/>
  <c r="G206" i="15" l="1"/>
  <c r="EN205" i="15"/>
  <c r="G207" i="15" l="1"/>
  <c r="EN206" i="15"/>
  <c r="G208" i="15" l="1"/>
  <c r="EN207" i="15"/>
  <c r="G209" i="15" l="1"/>
  <c r="EN208" i="15"/>
  <c r="G210" i="15" l="1"/>
  <c r="EN209" i="15"/>
  <c r="G211" i="15" l="1"/>
  <c r="EN210" i="15"/>
  <c r="G212" i="15" l="1"/>
  <c r="EN211" i="15"/>
  <c r="G213" i="15" l="1"/>
  <c r="EN212" i="15"/>
  <c r="G214" i="15" l="1"/>
  <c r="EN213" i="15"/>
  <c r="G215" i="15" l="1"/>
  <c r="EN214" i="15"/>
  <c r="G216" i="15" l="1"/>
  <c r="EN215" i="15"/>
  <c r="G217" i="15" l="1"/>
  <c r="EN216" i="15"/>
  <c r="G218" i="15" l="1"/>
  <c r="EN217" i="15"/>
  <c r="G219" i="15" l="1"/>
  <c r="EN218" i="15"/>
  <c r="G220" i="15" l="1"/>
  <c r="EN219" i="15"/>
  <c r="G221" i="15" l="1"/>
  <c r="EN220" i="15"/>
  <c r="G222" i="15" l="1"/>
  <c r="EN221" i="15"/>
  <c r="G223" i="15" l="1"/>
  <c r="EN222" i="15"/>
  <c r="G224" i="15" l="1"/>
  <c r="EN223" i="15"/>
  <c r="G225" i="15" l="1"/>
  <c r="EN224" i="15"/>
  <c r="G226" i="15" l="1"/>
  <c r="EN225" i="15"/>
  <c r="G227" i="15" l="1"/>
  <c r="EN226" i="15"/>
  <c r="G228" i="15" l="1"/>
  <c r="EN227" i="15"/>
  <c r="G229" i="15" l="1"/>
  <c r="EN228" i="15"/>
  <c r="G230" i="15" l="1"/>
  <c r="EN229" i="15"/>
  <c r="G231" i="15" l="1"/>
  <c r="EN230" i="15"/>
  <c r="G232" i="15" l="1"/>
  <c r="EN231" i="15"/>
  <c r="G233" i="15" l="1"/>
  <c r="EN232" i="15"/>
  <c r="G234" i="15" l="1"/>
  <c r="EN233" i="15"/>
  <c r="G235" i="15" l="1"/>
  <c r="EN234" i="15"/>
  <c r="G236" i="15" l="1"/>
  <c r="EN235" i="15"/>
  <c r="G237" i="15" l="1"/>
  <c r="EN236" i="15"/>
  <c r="G238" i="15" l="1"/>
  <c r="EN237" i="15"/>
  <c r="G239" i="15" l="1"/>
  <c r="EN238" i="15"/>
  <c r="G240" i="15" l="1"/>
  <c r="EN239" i="15"/>
  <c r="G241" i="15" l="1"/>
  <c r="EN240" i="15"/>
  <c r="G242" i="15" l="1"/>
  <c r="EN241" i="15"/>
  <c r="G243" i="15" l="1"/>
  <c r="EN242" i="15"/>
  <c r="G244" i="15" l="1"/>
  <c r="EN243" i="15"/>
  <c r="G245" i="15" l="1"/>
  <c r="EN244" i="15"/>
  <c r="G246" i="15" l="1"/>
  <c r="EN245" i="15"/>
  <c r="G247" i="15" l="1"/>
  <c r="EN246" i="15"/>
  <c r="G248" i="15" l="1"/>
  <c r="EN247" i="15"/>
  <c r="G249" i="15" l="1"/>
  <c r="EN248" i="15"/>
  <c r="G250" i="15" l="1"/>
  <c r="EN249" i="15"/>
  <c r="G251" i="15" l="1"/>
  <c r="EN250" i="15"/>
  <c r="G252" i="15" l="1"/>
  <c r="EN251" i="15"/>
  <c r="G253" i="15" l="1"/>
  <c r="EN252" i="15"/>
  <c r="G254" i="15" l="1"/>
  <c r="EN253" i="15"/>
  <c r="G255" i="15" l="1"/>
  <c r="EN254" i="15"/>
  <c r="G256" i="15" l="1"/>
  <c r="EN255" i="15"/>
  <c r="G257" i="15" l="1"/>
  <c r="EN256" i="15"/>
  <c r="G258" i="15" l="1"/>
  <c r="EN257" i="15"/>
  <c r="G259" i="15" l="1"/>
  <c r="EN258" i="15"/>
  <c r="G260" i="15" l="1"/>
  <c r="EN259" i="15"/>
  <c r="G261" i="15" l="1"/>
  <c r="EN260" i="15"/>
  <c r="G262" i="15" l="1"/>
  <c r="EN261" i="15"/>
  <c r="G263" i="15" l="1"/>
  <c r="EN262" i="15"/>
  <c r="G264" i="15" l="1"/>
  <c r="EN263" i="15"/>
  <c r="G265" i="15" l="1"/>
  <c r="EN264" i="15"/>
  <c r="G266" i="15" l="1"/>
  <c r="EN265" i="15"/>
  <c r="G267" i="15" l="1"/>
  <c r="EN266" i="15"/>
  <c r="G268" i="15" l="1"/>
  <c r="EN267" i="15"/>
  <c r="G269" i="15" l="1"/>
  <c r="EN268" i="15"/>
  <c r="G270" i="15" l="1"/>
  <c r="EN269" i="15"/>
  <c r="G271" i="15" l="1"/>
  <c r="EN270" i="15"/>
  <c r="G272" i="15" l="1"/>
  <c r="EN271" i="15"/>
  <c r="G273" i="15" l="1"/>
  <c r="EN272" i="15"/>
  <c r="EN273" i="15" l="1"/>
  <c r="G274" i="15"/>
  <c r="G275" i="15" l="1"/>
  <c r="EN274" i="15"/>
  <c r="G276" i="15" l="1"/>
  <c r="EN275" i="15"/>
  <c r="G277" i="15" l="1"/>
  <c r="EN276" i="15"/>
  <c r="G278" i="15" l="1"/>
  <c r="EN277" i="15"/>
  <c r="G279" i="15" l="1"/>
  <c r="EN278" i="15"/>
  <c r="G280" i="15" l="1"/>
  <c r="EN279" i="15"/>
  <c r="G281" i="15" l="1"/>
  <c r="EN280" i="15"/>
  <c r="G282" i="15" l="1"/>
  <c r="EN281" i="15"/>
  <c r="G283" i="15" l="1"/>
  <c r="EN282" i="15"/>
  <c r="G284" i="15" l="1"/>
  <c r="EN283" i="15"/>
  <c r="G285" i="15" l="1"/>
  <c r="EN284" i="15"/>
  <c r="G286" i="15" l="1"/>
  <c r="EN285" i="15"/>
  <c r="G287" i="15" l="1"/>
  <c r="EN286" i="15"/>
  <c r="G288" i="15" l="1"/>
  <c r="EN287" i="15"/>
  <c r="G289" i="15" l="1"/>
  <c r="EN288" i="15"/>
  <c r="G290" i="15" l="1"/>
  <c r="EN289" i="15"/>
  <c r="G291" i="15" l="1"/>
  <c r="EN290" i="15"/>
  <c r="G292" i="15" l="1"/>
  <c r="EN291" i="15"/>
  <c r="G293" i="15" l="1"/>
  <c r="EN292" i="15"/>
  <c r="G294" i="15" l="1"/>
  <c r="EN293" i="15"/>
  <c r="G295" i="15" l="1"/>
  <c r="EN294" i="15"/>
  <c r="G296" i="15" l="1"/>
  <c r="EN295" i="15"/>
  <c r="G297" i="15" l="1"/>
  <c r="EN296" i="15"/>
  <c r="G298" i="15" l="1"/>
  <c r="EN297" i="15"/>
  <c r="G299" i="15" l="1"/>
  <c r="EN298" i="15"/>
  <c r="G300" i="15" l="1"/>
  <c r="EN299" i="15"/>
  <c r="G301" i="15" l="1"/>
  <c r="EN300" i="15"/>
  <c r="G302" i="15" l="1"/>
  <c r="EN301" i="15"/>
  <c r="G303" i="15" l="1"/>
  <c r="EN302" i="15"/>
  <c r="EN303" i="15" l="1"/>
  <c r="G304" i="15"/>
</calcChain>
</file>

<file path=xl/sharedStrings.xml><?xml version="1.0" encoding="utf-8"?>
<sst xmlns="http://schemas.openxmlformats.org/spreadsheetml/2006/main" count="4135" uniqueCount="1124">
  <si>
    <t>Total</t>
  </si>
  <si>
    <t>Allan</t>
  </si>
  <si>
    <t>FK13 6RZ</t>
  </si>
  <si>
    <t>Blezard</t>
  </si>
  <si>
    <t>FK14 7DW</t>
  </si>
  <si>
    <t>Burbury</t>
  </si>
  <si>
    <t>FK14 7EB</t>
  </si>
  <si>
    <t>Carman</t>
  </si>
  <si>
    <t>FK14 7EL</t>
  </si>
  <si>
    <t>Cunningham</t>
  </si>
  <si>
    <t>Deekae</t>
  </si>
  <si>
    <t>FK14 7AZ</t>
  </si>
  <si>
    <t>Dodd</t>
  </si>
  <si>
    <t>Evans</t>
  </si>
  <si>
    <t>Rhynd Farm</t>
  </si>
  <si>
    <t>KY12 9HR</t>
  </si>
  <si>
    <t>Galbraith</t>
  </si>
  <si>
    <t>Cameron</t>
  </si>
  <si>
    <t>KY13 0UP</t>
  </si>
  <si>
    <t>Grady</t>
  </si>
  <si>
    <t>Hutchinson</t>
  </si>
  <si>
    <t>Penny</t>
  </si>
  <si>
    <t>Old Pitgober Cottage</t>
  </si>
  <si>
    <t>FK14 7PQ</t>
  </si>
  <si>
    <t>Jack</t>
  </si>
  <si>
    <t>Michael</t>
  </si>
  <si>
    <t>FK14 7PG</t>
  </si>
  <si>
    <t>McGaugie</t>
  </si>
  <si>
    <t>James</t>
  </si>
  <si>
    <t>Monaghan</t>
  </si>
  <si>
    <t>KY12 9LN</t>
  </si>
  <si>
    <t>Schofield</t>
  </si>
  <si>
    <t>KY13 0UG</t>
  </si>
  <si>
    <t>Moore</t>
  </si>
  <si>
    <t>FK14 7BH</t>
  </si>
  <si>
    <t>Parkins</t>
  </si>
  <si>
    <t>East Faerwood</t>
  </si>
  <si>
    <t>FK14 7PT</t>
  </si>
  <si>
    <t>Simpson</t>
  </si>
  <si>
    <t>Tinch</t>
  </si>
  <si>
    <t>Wain</t>
  </si>
  <si>
    <t>Thomas</t>
  </si>
  <si>
    <t>Watson</t>
  </si>
  <si>
    <t>KY13 0QW</t>
  </si>
  <si>
    <t>Duthie</t>
  </si>
  <si>
    <t>Andrew</t>
  </si>
  <si>
    <t>Graham</t>
  </si>
  <si>
    <t xml:space="preserve">Oliver </t>
  </si>
  <si>
    <t>McNicol</t>
  </si>
  <si>
    <t>Alexander</t>
  </si>
  <si>
    <t>Cubs</t>
  </si>
  <si>
    <t>Barnard</t>
  </si>
  <si>
    <t>Cooper</t>
  </si>
  <si>
    <t>FK10 1QX</t>
  </si>
  <si>
    <t>Lendrick House</t>
  </si>
  <si>
    <t>FK14 7JQ</t>
  </si>
  <si>
    <t>Mosspark Coach House</t>
  </si>
  <si>
    <t>KY13 0QE</t>
  </si>
  <si>
    <t>Henderson</t>
  </si>
  <si>
    <t>Irvine</t>
  </si>
  <si>
    <t>Letford</t>
  </si>
  <si>
    <t>FK12 5JL</t>
  </si>
  <si>
    <t>Logan</t>
  </si>
  <si>
    <t>Samuel</t>
  </si>
  <si>
    <t>FK14 7AJ</t>
  </si>
  <si>
    <t>White</t>
  </si>
  <si>
    <t>FK14 7AT</t>
  </si>
  <si>
    <t>Keir</t>
  </si>
  <si>
    <t>FK14 7BZ</t>
  </si>
  <si>
    <t>Champness</t>
  </si>
  <si>
    <t>FK14 7EF</t>
  </si>
  <si>
    <t>Drysdale</t>
  </si>
  <si>
    <t>FK13 6QR</t>
  </si>
  <si>
    <t>Everington</t>
  </si>
  <si>
    <t>FK12 5EX</t>
  </si>
  <si>
    <t>Ferguson</t>
  </si>
  <si>
    <t>FK14 7BW</t>
  </si>
  <si>
    <t>Lapsley</t>
  </si>
  <si>
    <t>Leggetter</t>
  </si>
  <si>
    <t>McBrien</t>
  </si>
  <si>
    <t>Macnamara</t>
  </si>
  <si>
    <t>FK14 7LX</t>
  </si>
  <si>
    <t>O'Reilly</t>
  </si>
  <si>
    <t>Roberts</t>
  </si>
  <si>
    <t>6 Innerdownie Place</t>
  </si>
  <si>
    <t>FK14 7BY</t>
  </si>
  <si>
    <t>Whyte</t>
  </si>
  <si>
    <t>Wilton</t>
  </si>
  <si>
    <t>FK14 7BT</t>
  </si>
  <si>
    <t>Beavers</t>
  </si>
  <si>
    <t>Coppock</t>
  </si>
  <si>
    <t>Cummings</t>
  </si>
  <si>
    <t>Davidson</t>
  </si>
  <si>
    <t>Dewar</t>
  </si>
  <si>
    <t>Dormer</t>
  </si>
  <si>
    <t>Gogoc</t>
  </si>
  <si>
    <t>Hiorns</t>
  </si>
  <si>
    <t>David</t>
  </si>
  <si>
    <t>Hood</t>
  </si>
  <si>
    <t>Hutton</t>
  </si>
  <si>
    <t>no</t>
  </si>
  <si>
    <t>Leavey</t>
  </si>
  <si>
    <t>Lindsay</t>
  </si>
  <si>
    <t>Mackie</t>
  </si>
  <si>
    <t>Mitchell</t>
  </si>
  <si>
    <t>Jonathan</t>
  </si>
  <si>
    <t>Pearce</t>
  </si>
  <si>
    <t>Poett</t>
  </si>
  <si>
    <t>Sample</t>
  </si>
  <si>
    <t>William</t>
  </si>
  <si>
    <t>Stewart</t>
  </si>
  <si>
    <t>Sweeney</t>
  </si>
  <si>
    <t>Syed</t>
  </si>
  <si>
    <t>Verhoeven</t>
  </si>
  <si>
    <t>FK14 7FA</t>
  </si>
  <si>
    <t>Walthall</t>
  </si>
  <si>
    <t>Waine</t>
  </si>
  <si>
    <t>Income &amp; Expenditure</t>
  </si>
  <si>
    <t>Trustees payments</t>
  </si>
  <si>
    <t>INCOME</t>
  </si>
  <si>
    <t>EXPENDITURE</t>
  </si>
  <si>
    <t>Scouts</t>
  </si>
  <si>
    <t>General Fund</t>
  </si>
  <si>
    <t>Donation to Cubs</t>
  </si>
  <si>
    <t>General</t>
  </si>
  <si>
    <t>Hall</t>
  </si>
  <si>
    <t xml:space="preserve"> Scouts</t>
  </si>
  <si>
    <t>Income Analysis</t>
  </si>
  <si>
    <t>Expenditure Analysis</t>
  </si>
  <si>
    <t>Date</t>
  </si>
  <si>
    <t>Description</t>
  </si>
  <si>
    <t>Receipt / Pay In  No.</t>
  </si>
  <si>
    <t>Chq No</t>
  </si>
  <si>
    <t>Income</t>
  </si>
  <si>
    <t>Bank Balance</t>
  </si>
  <si>
    <t>Rec.</t>
  </si>
  <si>
    <t>Donations</t>
  </si>
  <si>
    <t>Grants</t>
  </si>
  <si>
    <t>F/raising</t>
  </si>
  <si>
    <t>Trading (subs / camp etc.)</t>
  </si>
  <si>
    <t>Invstmnts - not L&amp;B</t>
  </si>
  <si>
    <t>Rents</t>
  </si>
  <si>
    <t>Other Charitable Activites</t>
  </si>
  <si>
    <t>F/raising costs</t>
  </si>
  <si>
    <t>Trading Payments</t>
  </si>
  <si>
    <t>Investmnt Mngmnt Costs</t>
  </si>
  <si>
    <t>Charitable Activities Payments</t>
  </si>
  <si>
    <t>Grants &amp; Donations</t>
  </si>
  <si>
    <t>Gvrnnce costs</t>
  </si>
  <si>
    <t>Hall Donation</t>
  </si>
  <si>
    <t>Term Fees</t>
  </si>
  <si>
    <t>Camp fees</t>
  </si>
  <si>
    <t>Other event fees</t>
  </si>
  <si>
    <t>Misc</t>
  </si>
  <si>
    <t>Interest</t>
  </si>
  <si>
    <t>Grant</t>
  </si>
  <si>
    <t>HMRC</t>
  </si>
  <si>
    <t>Fundraising</t>
  </si>
  <si>
    <t>AGM Hire/Donation</t>
  </si>
  <si>
    <t>Fundraising float/costs</t>
  </si>
  <si>
    <t>Cleaning Products</t>
  </si>
  <si>
    <t>Cleaning</t>
  </si>
  <si>
    <t>Utilities</t>
  </si>
  <si>
    <t>Fees / Insurance</t>
  </si>
  <si>
    <t>Camps / Outings</t>
  </si>
  <si>
    <t>Activities - ScoutsWed</t>
  </si>
  <si>
    <t>Activities - Scouts - Fri</t>
  </si>
  <si>
    <t>Activities - Cubs - Mon</t>
  </si>
  <si>
    <t>Activities - Cubs Thurs</t>
  </si>
  <si>
    <t>Activities -BeaversMon</t>
  </si>
  <si>
    <t>Activities - BeaversThurs</t>
  </si>
  <si>
    <t>Badges</t>
  </si>
  <si>
    <t>Print &amp; Postage/ stationery</t>
  </si>
  <si>
    <t>New Equipment</t>
  </si>
  <si>
    <t>Training</t>
  </si>
  <si>
    <t>GoCardless/OSM fees</t>
  </si>
  <si>
    <t>Spend Grants</t>
  </si>
  <si>
    <t>Check Total</t>
  </si>
  <si>
    <t>Expenses</t>
  </si>
  <si>
    <t>Balance</t>
  </si>
  <si>
    <t>Check total</t>
  </si>
  <si>
    <t>Scout exp check</t>
  </si>
  <si>
    <t>Cub exp check</t>
  </si>
  <si>
    <t>Beaver exp check</t>
  </si>
  <si>
    <t>Opening Balance</t>
  </si>
  <si>
    <t>DD</t>
  </si>
  <si>
    <t>R2</t>
  </si>
  <si>
    <t>R3</t>
  </si>
  <si>
    <t>R4</t>
  </si>
  <si>
    <t>R5</t>
  </si>
  <si>
    <t>R6</t>
  </si>
  <si>
    <t>R7</t>
  </si>
  <si>
    <t>R8</t>
  </si>
  <si>
    <t>R9</t>
  </si>
  <si>
    <t>R10</t>
  </si>
  <si>
    <t>R11</t>
  </si>
  <si>
    <t>R12</t>
  </si>
  <si>
    <t>R13</t>
  </si>
  <si>
    <t>R16</t>
  </si>
  <si>
    <t>R17</t>
  </si>
  <si>
    <t xml:space="preserve">Mrs </t>
  </si>
  <si>
    <t>Jennifer</t>
  </si>
  <si>
    <t>31</t>
  </si>
  <si>
    <t>Mrs</t>
  </si>
  <si>
    <t>Karen</t>
  </si>
  <si>
    <t>Buick</t>
  </si>
  <si>
    <t>Andrew's Fold, Yetts of Muckhart</t>
  </si>
  <si>
    <t>FK14 7JT</t>
  </si>
  <si>
    <t xml:space="preserve">Miss </t>
  </si>
  <si>
    <t xml:space="preserve">Laura </t>
  </si>
  <si>
    <t>Pringle</t>
  </si>
  <si>
    <t>2</t>
  </si>
  <si>
    <t>FK10 1PG</t>
  </si>
  <si>
    <t>Susan</t>
  </si>
  <si>
    <t>East Manse</t>
  </si>
  <si>
    <t>Marion</t>
  </si>
  <si>
    <t>Anness</t>
  </si>
  <si>
    <t>2 Gateside Cottage</t>
  </si>
  <si>
    <t>FK14 7NB</t>
  </si>
  <si>
    <t>Mr</t>
  </si>
  <si>
    <t>Hodgson</t>
  </si>
  <si>
    <t>KY13 0QB</t>
  </si>
  <si>
    <t>Ms</t>
  </si>
  <si>
    <t xml:space="preserve">Sarah </t>
  </si>
  <si>
    <t>Fitzpatrick</t>
  </si>
  <si>
    <t>Peasievaler</t>
  </si>
  <si>
    <t>FK14 7LN</t>
  </si>
  <si>
    <t xml:space="preserve">Susan </t>
  </si>
  <si>
    <t>Foreman</t>
  </si>
  <si>
    <t>5 Princes Crescent North</t>
  </si>
  <si>
    <t>FK14 7BX</t>
  </si>
  <si>
    <t>Mandy</t>
  </si>
  <si>
    <t>Kinghorn</t>
  </si>
  <si>
    <t>Cairnwell</t>
  </si>
  <si>
    <t>FK14 7EA</t>
  </si>
  <si>
    <t>Paul</t>
  </si>
  <si>
    <t>Colin</t>
  </si>
  <si>
    <t xml:space="preserve">Murchinson </t>
  </si>
  <si>
    <t>24</t>
  </si>
  <si>
    <t>Robertson</t>
  </si>
  <si>
    <t>30b Bridge Street</t>
  </si>
  <si>
    <t>FK14 7DE</t>
  </si>
  <si>
    <t xml:space="preserve">Ms </t>
  </si>
  <si>
    <t>Carolann</t>
  </si>
  <si>
    <t>Gilligan</t>
  </si>
  <si>
    <t>1, The Mart</t>
  </si>
  <si>
    <t>FK14 7NU</t>
  </si>
  <si>
    <t>Silk</t>
  </si>
  <si>
    <t>4 Lovers Loan</t>
  </si>
  <si>
    <t>FK14 7AB</t>
  </si>
  <si>
    <t>Seath</t>
  </si>
  <si>
    <t>The Old Tollhouse</t>
  </si>
  <si>
    <t>Katherine</t>
  </si>
  <si>
    <t>4</t>
  </si>
  <si>
    <t>Christopher</t>
  </si>
  <si>
    <t>Ward</t>
  </si>
  <si>
    <t>41</t>
  </si>
  <si>
    <t>FK14 7HP</t>
  </si>
  <si>
    <t>Kirsteen</t>
  </si>
  <si>
    <t>Chassels</t>
  </si>
  <si>
    <t>27</t>
  </si>
  <si>
    <t>FK14 7JA</t>
  </si>
  <si>
    <t>Dr</t>
  </si>
  <si>
    <t>Richard Michael</t>
  </si>
  <si>
    <t>Dixon</t>
  </si>
  <si>
    <t>Hillside House, Saline</t>
  </si>
  <si>
    <t>KY12 9TD</t>
  </si>
  <si>
    <t>Joanne</t>
  </si>
  <si>
    <t>Haston</t>
  </si>
  <si>
    <t>51</t>
  </si>
  <si>
    <t>FK14 7DG</t>
  </si>
  <si>
    <t>Brigitte</t>
  </si>
  <si>
    <t>Houston</t>
  </si>
  <si>
    <t>Station House</t>
  </si>
  <si>
    <t>KY13 0PT</t>
  </si>
  <si>
    <t xml:space="preserve">Heather </t>
  </si>
  <si>
    <t>Samantha</t>
  </si>
  <si>
    <t>Keaveney</t>
  </si>
  <si>
    <t>26</t>
  </si>
  <si>
    <t>Leeanne</t>
  </si>
  <si>
    <t>Rae</t>
  </si>
  <si>
    <t>The Coachman's House</t>
  </si>
  <si>
    <t>FK14 7LZ</t>
  </si>
  <si>
    <t>Michelle</t>
  </si>
  <si>
    <t>Wight</t>
  </si>
  <si>
    <t>KY13 0XH</t>
  </si>
  <si>
    <t>Carly</t>
  </si>
  <si>
    <t>Bryce</t>
  </si>
  <si>
    <t>11</t>
  </si>
  <si>
    <t xml:space="preserve">Amanda </t>
  </si>
  <si>
    <t>Burke</t>
  </si>
  <si>
    <t>18</t>
  </si>
  <si>
    <t>FK14 7AH</t>
  </si>
  <si>
    <t>Angela</t>
  </si>
  <si>
    <t>Carmen</t>
  </si>
  <si>
    <t>36</t>
  </si>
  <si>
    <t>Nicola</t>
  </si>
  <si>
    <t>South Clayside</t>
  </si>
  <si>
    <t xml:space="preserve">Mr </t>
  </si>
  <si>
    <t>Barrie Alan</t>
  </si>
  <si>
    <t>15B</t>
  </si>
  <si>
    <t>FK14 7AD</t>
  </si>
  <si>
    <t xml:space="preserve">Dr </t>
  </si>
  <si>
    <t xml:space="preserve">Lucy </t>
  </si>
  <si>
    <t>Payne</t>
  </si>
  <si>
    <t xml:space="preserve">2 </t>
  </si>
  <si>
    <t>FK14 7AY</t>
  </si>
  <si>
    <t>Donaldson</t>
  </si>
  <si>
    <t>East Hillfoot</t>
  </si>
  <si>
    <t>FK14 7PL</t>
  </si>
  <si>
    <t>62A</t>
  </si>
  <si>
    <t>Mark William Harold</t>
  </si>
  <si>
    <t>Harvey</t>
  </si>
  <si>
    <t>17</t>
  </si>
  <si>
    <t>FK14 7LS</t>
  </si>
  <si>
    <t xml:space="preserve">Johns </t>
  </si>
  <si>
    <t>Lethans View</t>
  </si>
  <si>
    <t>Denham</t>
  </si>
  <si>
    <t>Rozel Cottage</t>
  </si>
  <si>
    <t>1 St Serfs Cottage</t>
  </si>
  <si>
    <t>FK14 7JX</t>
  </si>
  <si>
    <t>Russell Scott</t>
  </si>
  <si>
    <t>3 The Stables</t>
  </si>
  <si>
    <t>Gillian</t>
  </si>
  <si>
    <t>Edgerton</t>
  </si>
  <si>
    <t>Alexandra</t>
  </si>
  <si>
    <t>Ashfield</t>
  </si>
  <si>
    <t>Martin</t>
  </si>
  <si>
    <t>Gilfoyle</t>
  </si>
  <si>
    <t>FK14 7BQ</t>
  </si>
  <si>
    <t>Derrick</t>
  </si>
  <si>
    <t>Hillview, Muckhart</t>
  </si>
  <si>
    <t>FK14 7JN</t>
  </si>
  <si>
    <t>Helen</t>
  </si>
  <si>
    <t>43</t>
  </si>
  <si>
    <t>Sarah</t>
  </si>
  <si>
    <t>Gallier</t>
  </si>
  <si>
    <t>Lindon</t>
  </si>
  <si>
    <t>FK14 7NS</t>
  </si>
  <si>
    <t>John</t>
  </si>
  <si>
    <t>Harris</t>
  </si>
  <si>
    <t>Fairfield, Rumbling Bridge</t>
  </si>
  <si>
    <t>Johnston</t>
  </si>
  <si>
    <t>34</t>
  </si>
  <si>
    <t>Lumsden</t>
  </si>
  <si>
    <t>23</t>
  </si>
  <si>
    <t xml:space="preserve">David </t>
  </si>
  <si>
    <t>5 Academy Place</t>
  </si>
  <si>
    <t>FK14 7DT</t>
  </si>
  <si>
    <t>Murphy</t>
  </si>
  <si>
    <t>The Heath</t>
  </si>
  <si>
    <t>Clare Margaret</t>
  </si>
  <si>
    <t>Carol</t>
  </si>
  <si>
    <t>Quinn</t>
  </si>
  <si>
    <t>15</t>
  </si>
  <si>
    <t>Bruce</t>
  </si>
  <si>
    <t>Harper</t>
  </si>
  <si>
    <t>Easter Clayskye</t>
  </si>
  <si>
    <t>Sarah E L</t>
  </si>
  <si>
    <t>Patchett</t>
  </si>
  <si>
    <t>KY12 9TL</t>
  </si>
  <si>
    <t>Plummer</t>
  </si>
  <si>
    <t>Easter Downiesdrum</t>
  </si>
  <si>
    <t>FK14 7NH</t>
  </si>
  <si>
    <t>Read</t>
  </si>
  <si>
    <t>Half Moon Barn</t>
  </si>
  <si>
    <t>Gary</t>
  </si>
  <si>
    <t>Nugent</t>
  </si>
  <si>
    <t>21</t>
  </si>
  <si>
    <t>FK13 6RR</t>
  </si>
  <si>
    <t xml:space="preserve">5 Dollarfield Farm Steading </t>
  </si>
  <si>
    <t>Rawson</t>
  </si>
  <si>
    <t>20</t>
  </si>
  <si>
    <t>Emma</t>
  </si>
  <si>
    <t>Christmas</t>
  </si>
  <si>
    <t>Pool Cottage</t>
  </si>
  <si>
    <t>FK14 7JW</t>
  </si>
  <si>
    <t>Alan</t>
  </si>
  <si>
    <t>Parklands Cottage</t>
  </si>
  <si>
    <t>FK10 3QG</t>
  </si>
  <si>
    <t>Kate</t>
  </si>
  <si>
    <t>Millington-Smith</t>
  </si>
  <si>
    <t>3 Manse Road</t>
  </si>
  <si>
    <t>Neil</t>
  </si>
  <si>
    <t>Fiona Jane</t>
  </si>
  <si>
    <t xml:space="preserve">Twin Pines, </t>
  </si>
  <si>
    <t>KY13 0NL</t>
  </si>
  <si>
    <t>Stephan</t>
  </si>
  <si>
    <t>Scheuerl</t>
  </si>
  <si>
    <t>10</t>
  </si>
  <si>
    <t>FK13 6AU</t>
  </si>
  <si>
    <t>Cathy Hannah</t>
  </si>
  <si>
    <t>Ewan</t>
  </si>
  <si>
    <t>The Warren</t>
  </si>
  <si>
    <t>Angus</t>
  </si>
  <si>
    <t>Myles</t>
  </si>
  <si>
    <t>1</t>
  </si>
  <si>
    <t>FK14 7AS</t>
  </si>
  <si>
    <t>Jones</t>
  </si>
  <si>
    <t>21, Excise St</t>
  </si>
  <si>
    <t>FK10 4LN</t>
  </si>
  <si>
    <t>Melanie</t>
  </si>
  <si>
    <t>Rafferty</t>
  </si>
  <si>
    <t>2 Golf View</t>
  </si>
  <si>
    <t>FK14 7JP</t>
  </si>
  <si>
    <t>Sutcliffe</t>
  </si>
  <si>
    <t>12</t>
  </si>
  <si>
    <t xml:space="preserve">Jane </t>
  </si>
  <si>
    <t>Williams</t>
  </si>
  <si>
    <t>15 Gowan Terrace</t>
  </si>
  <si>
    <t>Tracey</t>
  </si>
  <si>
    <t>Wilding</t>
  </si>
  <si>
    <t>2 Gowan Terrace</t>
  </si>
  <si>
    <t>Edward</t>
  </si>
  <si>
    <t xml:space="preserve">Clara </t>
  </si>
  <si>
    <t>9</t>
  </si>
  <si>
    <t>Parker</t>
  </si>
  <si>
    <t>FK17 7EF</t>
  </si>
  <si>
    <t>Meriel</t>
  </si>
  <si>
    <t>Cairns</t>
  </si>
  <si>
    <t>Adepeth</t>
  </si>
  <si>
    <t>46</t>
  </si>
  <si>
    <t>Wadkin</t>
  </si>
  <si>
    <t>FK14 7BU</t>
  </si>
  <si>
    <t>Geoff</t>
  </si>
  <si>
    <t>Jackson</t>
  </si>
  <si>
    <t xml:space="preserve">The Farmhouse, </t>
  </si>
  <si>
    <t>KY13 0QJ</t>
  </si>
  <si>
    <t>The Cart Shed,</t>
  </si>
  <si>
    <t>Tannock</t>
  </si>
  <si>
    <t>8</t>
  </si>
  <si>
    <t>FK11 7DU</t>
  </si>
  <si>
    <t>Wallace</t>
  </si>
  <si>
    <t>Tullibole Mill Farm</t>
  </si>
  <si>
    <t>KY13 0UL</t>
  </si>
  <si>
    <t>Louise</t>
  </si>
  <si>
    <t>32</t>
  </si>
  <si>
    <t>FK13 6HR</t>
  </si>
  <si>
    <t>Julie</t>
  </si>
  <si>
    <t>Wilson</t>
  </si>
  <si>
    <t>Pauline</t>
  </si>
  <si>
    <t>3</t>
  </si>
  <si>
    <t>Buchannan</t>
  </si>
  <si>
    <t>Jill</t>
  </si>
  <si>
    <t>Mains Court</t>
  </si>
  <si>
    <t>Alexis</t>
  </si>
  <si>
    <t>MacMillan</t>
  </si>
  <si>
    <t>FK13 6DQ</t>
  </si>
  <si>
    <t>Christina</t>
  </si>
  <si>
    <t>Kuhn</t>
  </si>
  <si>
    <t>30A</t>
  </si>
  <si>
    <t>Rebecca Emma</t>
  </si>
  <si>
    <t>16</t>
  </si>
  <si>
    <t>FK14 7EG</t>
  </si>
  <si>
    <t>Smith</t>
  </si>
  <si>
    <t>19</t>
  </si>
  <si>
    <t>KY12 9TS</t>
  </si>
  <si>
    <t>Tempany</t>
  </si>
  <si>
    <t>Millbeck Cottage</t>
  </si>
  <si>
    <t>FK14 7PH</t>
  </si>
  <si>
    <t>Auld's Well House</t>
  </si>
  <si>
    <t>Mackenzie John</t>
  </si>
  <si>
    <t>Clelland</t>
  </si>
  <si>
    <t>7</t>
  </si>
  <si>
    <t>Total gift aid =</t>
  </si>
  <si>
    <t>COMPLETED:</t>
  </si>
  <si>
    <t>difference from a/c</t>
  </si>
  <si>
    <t xml:space="preserve">Wendy </t>
  </si>
  <si>
    <t>Archibald</t>
  </si>
  <si>
    <t>30</t>
  </si>
  <si>
    <t>FK2 0FB</t>
  </si>
  <si>
    <t>Ostroumoff-Croucher</t>
  </si>
  <si>
    <t>Kerry</t>
  </si>
  <si>
    <t>Jukes</t>
  </si>
  <si>
    <t>FK14 7EJ</t>
  </si>
  <si>
    <t>Clair</t>
  </si>
  <si>
    <t>Brookfield</t>
  </si>
  <si>
    <t>6</t>
  </si>
  <si>
    <t>FK14 7DF</t>
  </si>
  <si>
    <t>Emily</t>
  </si>
  <si>
    <t>7 Bryanston Drive</t>
  </si>
  <si>
    <t>Rachael</t>
  </si>
  <si>
    <t>Jeffery</t>
  </si>
  <si>
    <t>19, Bryanston Drive</t>
  </si>
  <si>
    <t>Edmund</t>
  </si>
  <si>
    <t xml:space="preserve">Gail </t>
  </si>
  <si>
    <t>Cowan</t>
  </si>
  <si>
    <t xml:space="preserve">Richard  </t>
  </si>
  <si>
    <t>Linning</t>
  </si>
  <si>
    <t>4 Diverswell Farm</t>
  </si>
  <si>
    <t>FK10 3AN</t>
  </si>
  <si>
    <t>Elaine</t>
  </si>
  <si>
    <t>Farrer</t>
  </si>
  <si>
    <t>KY13 0QS</t>
  </si>
  <si>
    <t>3, Manse Road</t>
  </si>
  <si>
    <t>Richard</t>
  </si>
  <si>
    <t>49</t>
  </si>
  <si>
    <t>Simon</t>
  </si>
  <si>
    <t>Marjon</t>
  </si>
  <si>
    <t>Rodenburg</t>
  </si>
  <si>
    <t>66a</t>
  </si>
  <si>
    <t>FK10 4HD</t>
  </si>
  <si>
    <t>Gray</t>
  </si>
  <si>
    <t>11, Moira's Well</t>
  </si>
  <si>
    <t>1 Golf view</t>
  </si>
  <si>
    <t>Completed:</t>
  </si>
  <si>
    <t>One off Gift Aid donations</t>
  </si>
  <si>
    <t>Rodenberg</t>
  </si>
  <si>
    <t>66A</t>
  </si>
  <si>
    <t>Monika</t>
  </si>
  <si>
    <t>5</t>
  </si>
  <si>
    <t>FK14 7EQ</t>
  </si>
  <si>
    <t>NO's</t>
  </si>
  <si>
    <t>Hanson</t>
  </si>
  <si>
    <t>DJ Bates</t>
  </si>
  <si>
    <t>Carvey</t>
  </si>
  <si>
    <t>A Kacamarska</t>
  </si>
  <si>
    <t>LA Barnard</t>
  </si>
  <si>
    <t>Carlow</t>
  </si>
  <si>
    <t>Humphries</t>
  </si>
  <si>
    <t>Kazeze</t>
  </si>
  <si>
    <t>Kendall</t>
  </si>
  <si>
    <t>Main</t>
  </si>
  <si>
    <t>Melville</t>
  </si>
  <si>
    <t>Davis</t>
  </si>
  <si>
    <t xml:space="preserve">William </t>
  </si>
  <si>
    <t>McNiol</t>
  </si>
  <si>
    <t>14</t>
  </si>
  <si>
    <t>McColl</t>
  </si>
  <si>
    <t>Lynwood</t>
  </si>
  <si>
    <t>KY13 0UR</t>
  </si>
  <si>
    <t>Brown/Dann</t>
  </si>
  <si>
    <t xml:space="preserve">Allan </t>
  </si>
  <si>
    <t>Lynwood, L'Estrange Ave</t>
  </si>
  <si>
    <t>R18</t>
  </si>
  <si>
    <t>2nd Nov 2020</t>
  </si>
  <si>
    <t>Joanna Louise</t>
  </si>
  <si>
    <t>South Lodge</t>
  </si>
  <si>
    <t>PAID 9/11/20</t>
  </si>
  <si>
    <t>R23</t>
  </si>
  <si>
    <t>R25</t>
  </si>
  <si>
    <t>R26</t>
  </si>
  <si>
    <t>Waley</t>
  </si>
  <si>
    <t>Cadell</t>
  </si>
  <si>
    <t>2A</t>
  </si>
  <si>
    <t>left</t>
  </si>
  <si>
    <t>Nisbet</t>
  </si>
  <si>
    <t>13th Jan 2021</t>
  </si>
  <si>
    <t>Bates</t>
  </si>
  <si>
    <t>Cassels</t>
  </si>
  <si>
    <t>Kacmarska</t>
  </si>
  <si>
    <t>Susan Janet</t>
  </si>
  <si>
    <t>ky13</t>
  </si>
  <si>
    <t>Moffat</t>
  </si>
  <si>
    <t>Hunter</t>
  </si>
  <si>
    <t>McIntosh</t>
  </si>
  <si>
    <t>Brown /Dann</t>
  </si>
  <si>
    <t>2 Blackbriggs</t>
  </si>
  <si>
    <t>FK14 7JH</t>
  </si>
  <si>
    <t>Huumphries</t>
  </si>
  <si>
    <t>Elizabeth</t>
  </si>
  <si>
    <t>Lees</t>
  </si>
  <si>
    <t>FK14 7EY</t>
  </si>
  <si>
    <t>McKerchar</t>
  </si>
  <si>
    <t>FK13 6RH</t>
  </si>
  <si>
    <t>McNcol</t>
  </si>
  <si>
    <t>Frances Anne</t>
  </si>
  <si>
    <t>Tyneham Cottage</t>
  </si>
  <si>
    <t>McKenzie</t>
  </si>
  <si>
    <t>Nisbett</t>
  </si>
  <si>
    <t>Harviestoun</t>
  </si>
  <si>
    <t>FK14 7PX</t>
  </si>
  <si>
    <t>Stephenson</t>
  </si>
  <si>
    <t xml:space="preserve">Jon </t>
  </si>
  <si>
    <t>Kotlewski</t>
  </si>
  <si>
    <t>FK14 7AG</t>
  </si>
  <si>
    <t>PAID 20th Jan</t>
  </si>
  <si>
    <t>paid in so far 20-21</t>
  </si>
  <si>
    <t>R28</t>
  </si>
  <si>
    <t>Barbara</t>
  </si>
  <si>
    <t>Glendevon</t>
  </si>
  <si>
    <t>Eleanor</t>
  </si>
  <si>
    <t>FK12 5NE</t>
  </si>
  <si>
    <t>Lorraine</t>
  </si>
  <si>
    <t>The Ostlers, Muckhart Road</t>
  </si>
  <si>
    <t>Sharon</t>
  </si>
  <si>
    <t>Broadgreen</t>
  </si>
  <si>
    <t>PH2 6DS</t>
  </si>
  <si>
    <t>Rachel</t>
  </si>
  <si>
    <t>Rochelle</t>
  </si>
  <si>
    <t>Adamson</t>
  </si>
  <si>
    <t>Cox</t>
  </si>
  <si>
    <t>Primrose/Golund</t>
  </si>
  <si>
    <t>Annette</t>
  </si>
  <si>
    <t>Caroline</t>
  </si>
  <si>
    <t>Ioana</t>
  </si>
  <si>
    <t>Latis</t>
  </si>
  <si>
    <t>100</t>
  </si>
  <si>
    <t>Patrick</t>
  </si>
  <si>
    <t>Aberdona House</t>
  </si>
  <si>
    <t>FK10 3QP</t>
  </si>
  <si>
    <t>Crosbie</t>
  </si>
  <si>
    <t>Graeme</t>
  </si>
  <si>
    <t>Page</t>
  </si>
  <si>
    <t>Scott</t>
  </si>
  <si>
    <t>FK10 4LF</t>
  </si>
  <si>
    <t>Innerdownie Cottage</t>
  </si>
  <si>
    <t>33</t>
  </si>
  <si>
    <t>FK14 7DN</t>
  </si>
  <si>
    <t>Symington</t>
  </si>
  <si>
    <t>difference from accounts</t>
  </si>
  <si>
    <t xml:space="preserve">Caroline </t>
  </si>
  <si>
    <t>Bailie</t>
  </si>
  <si>
    <t xml:space="preserve">Difference from accounts = </t>
  </si>
  <si>
    <t>R31</t>
  </si>
  <si>
    <t>R33</t>
  </si>
  <si>
    <t>R34</t>
  </si>
  <si>
    <t>R1</t>
  </si>
  <si>
    <t>R14</t>
  </si>
  <si>
    <t>R15</t>
  </si>
  <si>
    <t>R19</t>
  </si>
  <si>
    <t>R20</t>
  </si>
  <si>
    <t>R21</t>
  </si>
  <si>
    <t>R22</t>
  </si>
  <si>
    <t>R29</t>
  </si>
  <si>
    <t>YES</t>
  </si>
  <si>
    <t>PAID in account</t>
  </si>
  <si>
    <t>R39</t>
  </si>
  <si>
    <t>R40</t>
  </si>
  <si>
    <t>R41</t>
  </si>
  <si>
    <t>R42</t>
  </si>
  <si>
    <t>R46</t>
  </si>
  <si>
    <t>BGC</t>
  </si>
  <si>
    <t>FPI</t>
  </si>
  <si>
    <t>R24</t>
  </si>
  <si>
    <t>R27</t>
  </si>
  <si>
    <t>R30</t>
  </si>
  <si>
    <t>R36</t>
  </si>
  <si>
    <t>R35</t>
  </si>
  <si>
    <t>R43</t>
  </si>
  <si>
    <t>R45</t>
  </si>
  <si>
    <t>R48</t>
  </si>
  <si>
    <t>R49</t>
  </si>
  <si>
    <t>SHIRTS /Neckers</t>
  </si>
  <si>
    <t>Fire Regs/ Misc.</t>
  </si>
  <si>
    <t>01/04/24 - 31/03/25 Scout Accounts</t>
  </si>
  <si>
    <t>not claimed yet</t>
  </si>
  <si>
    <t>BCG</t>
  </si>
  <si>
    <t xml:space="preserve">Tom </t>
  </si>
  <si>
    <t>Fossoway Schoolhouse</t>
  </si>
  <si>
    <t>Brown  Dann</t>
  </si>
  <si>
    <t>Shona</t>
  </si>
  <si>
    <t>Nether Auchlinsky House</t>
  </si>
  <si>
    <t>Miss</t>
  </si>
  <si>
    <t>Laura</t>
  </si>
  <si>
    <t>FK14 7DJ</t>
  </si>
  <si>
    <t>Ruth</t>
  </si>
  <si>
    <t>Woodcroft</t>
  </si>
  <si>
    <t>Clare</t>
  </si>
  <si>
    <t>Katie</t>
  </si>
  <si>
    <t>O'Neill</t>
  </si>
  <si>
    <t>27A</t>
  </si>
  <si>
    <t>Lyndsey-Anne</t>
  </si>
  <si>
    <t xml:space="preserve">Brown   </t>
  </si>
  <si>
    <t>86</t>
  </si>
  <si>
    <t>Natalie</t>
  </si>
  <si>
    <t>FK14 7LJ</t>
  </si>
  <si>
    <t>Broadmeadow House</t>
  </si>
  <si>
    <t>Keith</t>
  </si>
  <si>
    <t>Ostroumoff Croucher</t>
  </si>
  <si>
    <t>Morven</t>
  </si>
  <si>
    <t>Highfield</t>
  </si>
  <si>
    <t>McHall</t>
  </si>
  <si>
    <t>20/21</t>
  </si>
  <si>
    <t xml:space="preserve">Rachael </t>
  </si>
  <si>
    <t>Clark Thomson</t>
  </si>
  <si>
    <t>claire hodgson</t>
  </si>
  <si>
    <t>Macpherson</t>
  </si>
  <si>
    <t>GC352</t>
  </si>
  <si>
    <t>GC353</t>
  </si>
  <si>
    <t>R47</t>
  </si>
  <si>
    <t>SQUIRRELS</t>
  </si>
  <si>
    <t>21/22</t>
  </si>
  <si>
    <t>Scout Post &amp; FUNDAY£500 &amp; MICRO GRANT DCC £25</t>
  </si>
  <si>
    <t>Squirrels</t>
  </si>
  <si>
    <t>FPO</t>
  </si>
  <si>
    <t>DOLLAR COMMUNITY MICROGRANT- HALL STONEWORK</t>
  </si>
  <si>
    <t>EXPENSES, DODD - GAS for camp</t>
  </si>
  <si>
    <t>CLYDE SCOUTS, AUCH CAMP 26-28 APRIL</t>
  </si>
  <si>
    <t>GCW56</t>
  </si>
  <si>
    <t>GCW62</t>
  </si>
  <si>
    <t>GCW66</t>
  </si>
  <si>
    <t>GCB325</t>
  </si>
  <si>
    <t>GCB326</t>
  </si>
  <si>
    <t>GCB333</t>
  </si>
  <si>
    <t>GCB334</t>
  </si>
  <si>
    <t>GCB323</t>
  </si>
  <si>
    <t>GCB324</t>
  </si>
  <si>
    <t>GCM314</t>
  </si>
  <si>
    <t>GCM315</t>
  </si>
  <si>
    <t>GCM316</t>
  </si>
  <si>
    <t>GCM317</t>
  </si>
  <si>
    <t>GCM327</t>
  </si>
  <si>
    <t>GCM328</t>
  </si>
  <si>
    <t>GCM329</t>
  </si>
  <si>
    <t>GCM330</t>
  </si>
  <si>
    <t>GCM331</t>
  </si>
  <si>
    <t>GC354</t>
  </si>
  <si>
    <t>GC355</t>
  </si>
  <si>
    <t>GC356</t>
  </si>
  <si>
    <t>GC357</t>
  </si>
  <si>
    <t>GC358</t>
  </si>
  <si>
    <t>GC361</t>
  </si>
  <si>
    <t>GC362</t>
  </si>
  <si>
    <t>GC366</t>
  </si>
  <si>
    <t>GC367</t>
  </si>
  <si>
    <t>GCS353</t>
  </si>
  <si>
    <t>GCS354</t>
  </si>
  <si>
    <t>GCS355</t>
  </si>
  <si>
    <t>GCS352</t>
  </si>
  <si>
    <t>THURS CUBS - CAMP</t>
  </si>
  <si>
    <t>WED BEAVERS - CAMP</t>
  </si>
  <si>
    <t>GCM311</t>
  </si>
  <si>
    <t>THURS BEAVERS - CAMP</t>
  </si>
  <si>
    <t>GCW58</t>
  </si>
  <si>
    <t>GCB321</t>
  </si>
  <si>
    <t xml:space="preserve">SCOUTS - CAMP </t>
  </si>
  <si>
    <t>GCS348</t>
  </si>
  <si>
    <t>MON CUBS - CAMP</t>
  </si>
  <si>
    <t>GCW59</t>
  </si>
  <si>
    <t>GCS349</t>
  </si>
  <si>
    <t>EXPENSES, C PARKINS - CAMP FOOD, DONATION FOR FIRE WOOD - MACULAR SOCIETY</t>
  </si>
  <si>
    <t>JMP - CLEANING APRIL  5 VISITS</t>
  </si>
  <si>
    <t>GCB322</t>
  </si>
  <si>
    <t>GCW60</t>
  </si>
  <si>
    <t>GCS350</t>
  </si>
  <si>
    <t>GCM312</t>
  </si>
  <si>
    <t>GCS351</t>
  </si>
  <si>
    <t>GCM313</t>
  </si>
  <si>
    <t>SCHOFIELD MASONRY - BRICK WALL REPOINT</t>
  </si>
  <si>
    <t>CUB HOWLING CAMP (16)- SCOUTS SCOTLAND SEPT 2024 INV709 -MON</t>
  </si>
  <si>
    <t>CUB HOWLING CAMP (17)- SCOUTS SCOTLAND SEPT 2024 INV710 -THURS</t>
  </si>
  <si>
    <t>WED BEAVERS - SUBS</t>
  </si>
  <si>
    <t>GCW61</t>
  </si>
  <si>
    <t>GCW57</t>
  </si>
  <si>
    <t>MON CUBS - SUBS</t>
  </si>
  <si>
    <t>THURS BEAVERS - SUBS</t>
  </si>
  <si>
    <t>SCOUTS - SUBS</t>
  </si>
  <si>
    <t>THURS CUBS - SUBS</t>
  </si>
  <si>
    <t xml:space="preserve">AGM HALL RENTAL - DOLLAR PARISH CHURCH </t>
  </si>
  <si>
    <t>EXPENSES - WALEY - CAMP FOOD - 26-04-24 (£288.36 REMAINING)</t>
  </si>
  <si>
    <t>GCM318</t>
  </si>
  <si>
    <t>SCOUTS - 60TH ANNIVERSARY &amp; TRAIL JAM</t>
  </si>
  <si>
    <t>THURS CUBS - 60TH ANNIVERSASRY, TRAIL JAM, SUBS</t>
  </si>
  <si>
    <t>GCS356</t>
  </si>
  <si>
    <t>MON CUBS - TRAIL JAM &amp; AUCHENGILAN CAMP</t>
  </si>
  <si>
    <t>GCM319</t>
  </si>
  <si>
    <t>WED BEAVERS - TRAIL JAM, 60TH ANNIVERSARY</t>
  </si>
  <si>
    <t>GCW63</t>
  </si>
  <si>
    <t>GCW64</t>
  </si>
  <si>
    <t>WED BEAVERS - TRAIL JAM</t>
  </si>
  <si>
    <t>GCB327</t>
  </si>
  <si>
    <t>GCB328</t>
  </si>
  <si>
    <t>GCB329</t>
  </si>
  <si>
    <t>GCB330</t>
  </si>
  <si>
    <t>THURS BEAVERS - 60TH ANNIVERSARY , TRAIL JAM</t>
  </si>
  <si>
    <t>GCM320</t>
  </si>
  <si>
    <t xml:space="preserve">MON CUBS - TRAIL JAM  </t>
  </si>
  <si>
    <t>GC359</t>
  </si>
  <si>
    <t>GC360</t>
  </si>
  <si>
    <t>THURS CUBS - TRAIL JAM, 60TH ANNIVERSARY</t>
  </si>
  <si>
    <t>SQUARE PAYMENT</t>
  </si>
  <si>
    <t xml:space="preserve">CITIBANK ONLINE GIVING </t>
  </si>
  <si>
    <t>JMP - CLEANING MAY  4 VISITS</t>
  </si>
  <si>
    <t xml:space="preserve">CRAIG WILSON - DIRECT </t>
  </si>
  <si>
    <t>GCB331</t>
  </si>
  <si>
    <t>GCB332</t>
  </si>
  <si>
    <t>GCB335</t>
  </si>
  <si>
    <t>THURS BEAVERS - INVESTITURE</t>
  </si>
  <si>
    <t>THURS BEAVERS - TRAIL JAM, 60TH, SUBS</t>
  </si>
  <si>
    <t>EDF - ELECTRIC AND GAS - FEB - MAY 4 MONTHS</t>
  </si>
  <si>
    <t>CHARITIES TRUST - CO-OP DONATION</t>
  </si>
  <si>
    <t>GCW65</t>
  </si>
  <si>
    <t>GCW67</t>
  </si>
  <si>
    <t>GCW68</t>
  </si>
  <si>
    <t>WED BEAVERS - INVESTITURE</t>
  </si>
  <si>
    <t>WED BEAVERS - 60TH ANNIVERSARY</t>
  </si>
  <si>
    <t>FIONA YOUNG - KINDLING PAYMENT</t>
  </si>
  <si>
    <t>C PARKINS - DONALD WOOD - KINDLING</t>
  </si>
  <si>
    <t>CLARE CRESSWELL - TAI CHI DONATION</t>
  </si>
  <si>
    <t>EXPENSES - C PARKINS - ACTIVITIES</t>
  </si>
  <si>
    <t>DOLLAR COMMUNITY COUNCIL - GALA STALL</t>
  </si>
  <si>
    <t>EDF - ELECTRIC AND GAS - June - July  2 MONTHS</t>
  </si>
  <si>
    <t>CLYDE SCOUTS, CHILD NECKIES - £8.50 EACH</t>
  </si>
  <si>
    <t>JMP DOMESTIC CLEAN - INV 32  - JUNE  4 VISITS (EXTRA TIME)</t>
  </si>
  <si>
    <t>EXPENSES - A DAVIS - 1ST AID COURSE &amp; ACTIVITY</t>
  </si>
  <si>
    <t>EXPENSES - A DAVIS - 6x  DRY BAGS</t>
  </si>
  <si>
    <t>DAVID LOVE ROOFING - FIXING GUTTERS</t>
  </si>
  <si>
    <t>PFI</t>
  </si>
  <si>
    <t>HISTORIC ENVIRONMENT SCOTLAND - USE OF CASTLE CAMPBELL - PICNIC</t>
  </si>
  <si>
    <t xml:space="preserve">EDF - ELECTRIC &amp; GAS - August </t>
  </si>
  <si>
    <t>SCOUTS SCOTLAND HOWLING CAMP- MON CUBS</t>
  </si>
  <si>
    <t>SCOUTS SCOTLAND HOWLING CAMP- THURS CUBS</t>
  </si>
  <si>
    <t>GC363</t>
  </si>
  <si>
    <t>GCM321</t>
  </si>
  <si>
    <t>THURS CUBS - HOWLING CAMP</t>
  </si>
  <si>
    <t>MON CUBS - HOWLING CAMP</t>
  </si>
  <si>
    <t>GC364</t>
  </si>
  <si>
    <t>GCM323</t>
  </si>
  <si>
    <t>GC365</t>
  </si>
  <si>
    <t>GCM324</t>
  </si>
  <si>
    <t>GCM325</t>
  </si>
  <si>
    <t>GCW69</t>
  </si>
  <si>
    <t>EXPENSES - OSM ANNUAL FEE SQUIRRELS &amp; THURS BEAVERS</t>
  </si>
  <si>
    <t>GCB336</t>
  </si>
  <si>
    <t>THURS CUBS - HOWLING CAMP &amp; SUBS</t>
  </si>
  <si>
    <t>THURS CUBS -SUBS</t>
  </si>
  <si>
    <t>FORTH REGION - SQUIRREL FUNDING SET UP</t>
  </si>
  <si>
    <t>GCM326</t>
  </si>
  <si>
    <t>ESSO PETROLEUM - EMPLOYEE DONATION</t>
  </si>
  <si>
    <t>SHELL Grant / ESSO GRANT</t>
  </si>
  <si>
    <t>EDF - ELECTRIC &amp; GAS - JULY</t>
  </si>
  <si>
    <t>WED BEAVERS -SUBS</t>
  </si>
  <si>
    <t>GCB337</t>
  </si>
  <si>
    <t>GCB338</t>
  </si>
  <si>
    <t>GCB339</t>
  </si>
  <si>
    <t>GCB340</t>
  </si>
  <si>
    <t>GCS357</t>
  </si>
  <si>
    <t>GCS358</t>
  </si>
  <si>
    <t>GCS359</t>
  </si>
  <si>
    <t>GCS360</t>
  </si>
  <si>
    <t>GCS361</t>
  </si>
  <si>
    <t>GCS362</t>
  </si>
  <si>
    <t>GCS363</t>
  </si>
  <si>
    <t>GCS364</t>
  </si>
  <si>
    <t>GCW70</t>
  </si>
  <si>
    <t>GCW71</t>
  </si>
  <si>
    <t>GCW72</t>
  </si>
  <si>
    <t>GCW73</t>
  </si>
  <si>
    <t>GCM332</t>
  </si>
  <si>
    <t>GCM333</t>
  </si>
  <si>
    <t>GCB341</t>
  </si>
  <si>
    <t>GCS365</t>
  </si>
  <si>
    <t>GCS366</t>
  </si>
  <si>
    <t>GCS367</t>
  </si>
  <si>
    <t>GCB342</t>
  </si>
  <si>
    <t>GCW74</t>
  </si>
  <si>
    <t>JMP - CLEANING SEPT - INV 33 DEEP CLEAN &amp; 4 VISITS</t>
  </si>
  <si>
    <t>GC368</t>
  </si>
  <si>
    <t>GC369</t>
  </si>
  <si>
    <t>GOCARDLESS - TESTING SQUIRREL SET UP</t>
  </si>
  <si>
    <t>P CORSAR - LOGS PAM</t>
  </si>
  <si>
    <t xml:space="preserve">CROUCHER - KINDLING </t>
  </si>
  <si>
    <t>GC370</t>
  </si>
  <si>
    <t>GC371</t>
  </si>
  <si>
    <t>SQUARE PAYMENT - SELLING KINDLING DONATION</t>
  </si>
  <si>
    <t>GCM334</t>
  </si>
  <si>
    <t>WALKER FIRE UK LTD - SERVICE ALARM</t>
  </si>
  <si>
    <t>GCM335</t>
  </si>
  <si>
    <t>MON CUBS - INVESTITURE £15</t>
  </si>
  <si>
    <t>GC372</t>
  </si>
  <si>
    <t>GC373</t>
  </si>
  <si>
    <t>GCM336</t>
  </si>
  <si>
    <t>22/10/240</t>
  </si>
  <si>
    <t xml:space="preserve">EDF ENERGY - </t>
  </si>
  <si>
    <t>GCM337</t>
  </si>
  <si>
    <t xml:space="preserve">KEEGAN &amp; PENNYKID INSURANCE - HALL </t>
  </si>
  <si>
    <t>TFR</t>
  </si>
  <si>
    <t>CO-OP OCT 82622 - DONATION FOR</t>
  </si>
  <si>
    <t>GOCARDLESS - TESTING SQUIRREL SET UP R24</t>
  </si>
  <si>
    <t>JMP DOMESTIC CLEAN - INV 34  - OCT   4 VISITS</t>
  </si>
  <si>
    <t>Activities - Squirrels</t>
  </si>
  <si>
    <t>F/FLOW DONATION - instigated by Graham Whaley</t>
  </si>
  <si>
    <t>Steven Bradshaw - Esso donation</t>
  </si>
  <si>
    <t>Notes:</t>
  </si>
  <si>
    <t>Alex Galloway - give the masons info for their scheduled donations</t>
  </si>
  <si>
    <t xml:space="preserve">Cash - gala, kindling, museum fundraiser, minus £215 for macular society via donald. Leave £50 change. </t>
  </si>
  <si>
    <t>Firewood donations (originally from charlotte)</t>
  </si>
  <si>
    <t>Expenses Claim - Blue Troop Scouts - Fiona Barker</t>
  </si>
  <si>
    <t>SQUARE T3PGK1BTD2HVYX4 43288831809641834 040345     40 11NOV24 16:11</t>
  </si>
  <si>
    <t>BRADSHAW S&amp;E SQUIRREL BRADSHAW 146746634402311101 404218     10 13NOV24 20:44</t>
  </si>
  <si>
    <t>GC C1 THURSCUBS-6KQ58K9K 12125413989360000R 162224     10 13NOV24 12:54</t>
  </si>
  <si>
    <t>GC C1 THURSBEAVERS-9RHA4 03125036412818000R 162224     10 13NOV24 12:50</t>
  </si>
  <si>
    <t>GC C1 MONBEAVERS-BNVVXJ5 24124647627024000R 162224     10 13NOV24 12:46</t>
  </si>
  <si>
    <t>DOLLAR MUSIC SOCIE LEAFLET DROP 200000001453261788 802260     10 14NOV24 23:08</t>
  </si>
  <si>
    <t>S JACK HARRIS JACK 300000001460409374 804517     10 14NOV24 13:01</t>
  </si>
  <si>
    <t>GC C1 THURSBEAVERS-Z2BZV 17121236801935000R 162224     10 14NOV24 12:12</t>
  </si>
  <si>
    <t>GC C1 MONBEAVERS-5Z5JEQ7 50122941429260000R 162224     10 15NOV24 12:29</t>
  </si>
  <si>
    <t>GC C1 THURSCUBS-RQHJQJRY 56122704005648000R 162224     10 15NOV24 12:27</t>
  </si>
  <si>
    <t>GC C1 THURSCUBS-4WAYWJ9B 32122559162449000R 162224     10 18NOV24 12:25</t>
  </si>
  <si>
    <t>GC C1 MONBEAVERS-JCBPQ7F 17122542662557000R 162224     10 18NOV24 12:25</t>
  </si>
  <si>
    <t>MORIEUX AM-L FRANCOIS DREYER 02161449616688000R 831526     10 17NOV24 16:14</t>
  </si>
  <si>
    <t>SQUARE T33WV3RM4X08FAE 50971647335518365 040345     40 17NOV24 15:47</t>
  </si>
  <si>
    <t>GC C1 SCOUTS-KEWJAP8RFYX 50123411386656000R 162224     10 19NOV24 12:34</t>
  </si>
  <si>
    <t>GC C1 MONCUBS-Q2WF8RQXQG 50123114188964000R 162224     10 19NOV24 12:31</t>
  </si>
  <si>
    <t>GC C1 MONBEAVERS-P2HSSCX 46121708930791000R 162224     10 20NOV24 12:17</t>
  </si>
  <si>
    <t>GC C1 SCOUTS-49G6AA8XRP2 17121645611592000R 162224     10 20NOV24 12:16</t>
  </si>
  <si>
    <t>EDF ENERGY A-176981C9-001</t>
  </si>
  <si>
    <t>GC C1 SCOUTS-ZM6XQYFT3RX 57122627501820000R 162224     10 22NOV24 12:26</t>
  </si>
  <si>
    <t>GC C1 2NDDOLLARSQU-2ZCGS 18123743476108000R 162224     10 25NOV24 12:37</t>
  </si>
  <si>
    <t>GC C1 MONBEAVERS-YY322JK 33123513757308000R 162224     10 25NOV24 12:35</t>
  </si>
  <si>
    <t>DOLLAR COMMUNTIY D 500000001462694238 WFSTALL SCOUTS 831616     10 24NOV24 21:36</t>
  </si>
  <si>
    <t>GC C1 2NDDOLLARSQU-RRPYS 38123355485714000R 162224     10 26NOV24 12:33</t>
  </si>
  <si>
    <t>SQUARE T3E4C6C02DTPK7B 95875752223610724 040345     40 27NOV24 15:59</t>
  </si>
  <si>
    <t>GC C1 2NDDOLLARSQU-G7E3J 22121839799615000R 162224     10 28NOV24 12:18</t>
  </si>
  <si>
    <t>GC C1 THURSCUBS-BZQN9YKD 47122151709776000R 162224     10 29NOV24 12:21</t>
  </si>
  <si>
    <t>GC C1 2NDDOLLARSQU-YC43T 46122054559896000R 162224     10 29NOV24 12:20</t>
  </si>
  <si>
    <t>JMP DOMESTIC SERVI 500000001468191046 SCOUTS  INV 35 R34 802260     10 02DEC24 22:38</t>
  </si>
  <si>
    <t>PAMELA CORSAR 200000001464131553 EXPENSES CAMP R33 804684     10 02DEC24 22:37</t>
  </si>
  <si>
    <t>SQUARE T30DDB8XKQ92MHN 95177578148742202 040345     40 02DEC24 16:03</t>
  </si>
  <si>
    <t>GC C1 2NDDOLLARSQU-BKHGY 22122945630806000R 162224     10 02DEC24 12:29</t>
  </si>
  <si>
    <t>SQUARE T373RQCKXJ00S0K 94667970280300576 040345     40 01DEC24 15:46</t>
  </si>
  <si>
    <t>GC C1 2NDDOLLARSQU-ANFV6 44123502369253000R 162224     10 06DEC24 12:35</t>
  </si>
  <si>
    <t>GC C1 THURSCUBS-CG9NDB2Z 63123055440108000R 162224     10 06DEC24 12:30</t>
  </si>
  <si>
    <t>SQUARE T33MS21ZYE5VV0Y 93074391522359259 040345     40 08DEC24 15:50</t>
  </si>
  <si>
    <t>P CORSAR PAM LOGS 400000001475893877 804684     10 07DEC24 18:45</t>
  </si>
  <si>
    <t>CLACKS DISTRICT SC 600000001472425706 R35 PATCHES 802260     10 10DEC24 21:52</t>
  </si>
  <si>
    <t>DEPOSIT POINT</t>
  </si>
  <si>
    <t>GLASGOW SCOUT SHOP 300000001479229760 9290050 808333     10 16DEC24 13:30</t>
  </si>
  <si>
    <t>CROUCHER A N KINDLING 522209043451032101 401916     10 30DEC24 15:43</t>
  </si>
  <si>
    <t>MATT DAVIS 300000001492196969 SCOUTS CAMP R39 089300     10 09JAN25 16:40</t>
  </si>
  <si>
    <t>JMP DOMESTIC SERVI 400000001493611283 SCOUTS  R40 802260     10 09JAN25 16:36</t>
  </si>
  <si>
    <t>CHARLOTTE PARKINS ISLA &amp; GRACE SUP CBBPI2023589442124 826208     10 23JAN25 20:23</t>
  </si>
  <si>
    <t>CHARLOTTE PARKINS HALL RENTAL CBBPI2022599830420 826208     10 23JAN25 20:22</t>
  </si>
  <si>
    <t>GC C1 MONCUBS-PWM8HTDFCZ 49120658101837000R 162224     10 27JAN25 12:06</t>
  </si>
  <si>
    <t>GC C1 MONCUBS-F3YMDFJNGF 38121529599427000R 162224     10 28JAN25 12:15</t>
  </si>
  <si>
    <t>GC C1 MONBEAVERS-8N8Y4Q9 50121347552735000R 162224     10 28JAN25 12:13</t>
  </si>
  <si>
    <t>GC C1 SCOUTS-Y726FSHDZRK 28121327548192000R 162224     10 28JAN25 12:13</t>
  </si>
  <si>
    <t>KINROSS CURLING TR 600000001499091301 R41 800227     10 29JAN25 16:16</t>
  </si>
  <si>
    <t>GC C1 2NDDOLLARSQU-NJ5HQ 48121900782291000R 162224     10 29JAN25 12:19</t>
  </si>
  <si>
    <t>GC C1 THURSBEAVERS-9B7F4 44121800791005000R 162224     10 29JAN25 12:18</t>
  </si>
  <si>
    <t>GC C1 THURSCUBS-BSVEMNP8 54121340300597000R 162224     10 29JAN25 12:13</t>
  </si>
  <si>
    <t>GC C1 MONCUBS-5JT2DPX3XK 47121309094742000R 162224     10 29JAN25 12:13</t>
  </si>
  <si>
    <t>GC C1 MONBEAVERS-EC5VZRK 31121146294822000R 162224     10 29JAN25 12:11</t>
  </si>
  <si>
    <t>GC C1 SCOUTS-MY88TK9YA2K 39121028737745000R 162224     10 29JAN25 12:10</t>
  </si>
  <si>
    <t>GC C1 THURSBEAVERS-E7D7N 09121628234362000R 162224     10 30JAN25 12:16</t>
  </si>
  <si>
    <t>GC C1 2NDDOLLARSQU-6NZ7D 38121546377609000R 162224     10 30JAN25 12:15</t>
  </si>
  <si>
    <t>GC C1 THURSCUBS-6ETP3J4Y 50121523711173000R 162224     10 30JAN25 12:15</t>
  </si>
  <si>
    <t>GC C1 MONBEAVERS-P9AQZF7 01121415784675000R 162224     10 30JAN25 12:14</t>
  </si>
  <si>
    <t>GC C1 SCOUTS-JNYVQ8DJXYV 20121241718616000R 162224     10 30JAN25 12:12</t>
  </si>
  <si>
    <t>MR THOMAS DODD 400000001504638673 R42 EXPENSE CLAIM 404773     10 30JAN25 12:07</t>
  </si>
  <si>
    <t>GC C1 MONCUBS-YHFZYPAYPQ 03120710586416000R 162224     10 31JAN25 12:07</t>
  </si>
  <si>
    <t>GC C1 MONBEAVERS-C8QANJH 58120541455290000R 162224     10 31JAN25 12:05</t>
  </si>
  <si>
    <t>GC C1 THURSCUBS-9Y428R2Y 48120436623536000R 162224     10 31JAN25 12:04</t>
  </si>
  <si>
    <t>GC C1 2NDDOLLARSQU-4SBDK 36120049497026000R 162224     10 31JAN25 12:00</t>
  </si>
  <si>
    <t>GC C1 THURSBEAVERS-NEY8K 35120008330004000R 162224     10 31JAN25 12:00</t>
  </si>
  <si>
    <t>JMP DOMESTIC SERVI 300000001506263887 SCOUTS  R43 802260     10 03FEB25 20:37</t>
  </si>
  <si>
    <t>GC C1 MONCUBS-HN93PJKM35 55132051887670000R 162224     10 04FEB25 13:20</t>
  </si>
  <si>
    <t>GC C1 MONBEAVERS-5JYV92G 54132030183757000R 162224     10 04FEB25 13:20</t>
  </si>
  <si>
    <t>GC C1 THURSCUBS-A3W3DKD3 37121548228332000R 162224     10 06FEB25 12:15</t>
  </si>
  <si>
    <t>GC C1 SCOUTS-AFETAAC5Z3T 45122042163801000R 162224     10 07FEB25 12:20</t>
  </si>
  <si>
    <t>GC C1 MONCUBS-WCY3578E3T 60122859771819000R 162224     10 10FEB25 12:29</t>
  </si>
  <si>
    <t>GC C1 MONBEAVERS-DMGXH3C 14122723996651000R 162224     10 10FEB25 12:27</t>
  </si>
  <si>
    <t>GC C1 THURSBEAVERS-YG4BR 09122331379820000R 162224     10 10FEB25 12:23</t>
  </si>
  <si>
    <t>GC C1 2NDDOLLARSQU-QA725 30122315003404000R 162224     10 10FEB25 12:23</t>
  </si>
  <si>
    <t>GC C1 THURSCUBS-KG8QKR4K 47122240271778000R 162224     10 10FEB25 12:22</t>
  </si>
  <si>
    <t>GC C1 SCOUTS-824YBQ7KC8Z 18121931114674000R 162224     10 10FEB25 12:19</t>
  </si>
  <si>
    <t>GC C1 THURSCUBS-HMBGA3RA 09122423661241000R 162224     10 11FEB25 12:24</t>
  </si>
  <si>
    <t>GC C1 MONBEAVERS-SF27XB2 19122122511745000R 162224     10 12FEB25 12:21</t>
  </si>
  <si>
    <t>GC C1 SCOUTS-ND8NMNN6DD3 27121854145395000R 162224     10 12FEB25 12:18</t>
  </si>
  <si>
    <t>GC C1 THURSBEAVERS-ZSHEH 31121211704262000R 162224     10 13FEB25 12:12</t>
  </si>
  <si>
    <t>GC C1 2NDDOLLARSQU-8JVP6 37120918738227000R 162224     10 13FEB25 12:09</t>
  </si>
  <si>
    <t>GC C1 MONCUBS-4ZMQSNREG4 55120850186455000R 162224     10 13FEB25 12:08</t>
  </si>
  <si>
    <t>GC C1 MONBEAVERS-HWWJGKC 03120833015500000R 162224     10 13FEB25 12:08</t>
  </si>
  <si>
    <t>GC C1 SCOUTS-35H4X39CJ8K 21120425227307000R 162224     10 13FEB25 12:04</t>
  </si>
  <si>
    <t>GC C1 2NDDOLLARSQU-ATW3R 12121340962960000R 162224     10 14FEB25 12:13</t>
  </si>
  <si>
    <t>GC C1 THURSBEAVERS-KHY9D 25121120643110000R 162224     10 14FEB25 12:11</t>
  </si>
  <si>
    <t>GC C1 SCOUTS-NCZGRDXYN5Z 28120832949605000R 162224     10 14FEB25 12:08</t>
  </si>
  <si>
    <t>GC C1 THURSBEAVERS-3NE33 59123022569564000R 162224     10 17FEB25 12:30</t>
  </si>
  <si>
    <t>GC C1 MONBEAVERS-FHH9CA8 47122738456720000R 162224     10 17FEB25 12:27</t>
  </si>
  <si>
    <t>GC C1 SCOUTS-SVGPBN4KTE7 43124447406446000R 162224     10 18FEB25 12:44</t>
  </si>
  <si>
    <t>GC C1 THURSBEAVERS-KPB3G 24121733277046000R 162224     10 21FEB25 12:17</t>
  </si>
  <si>
    <t>GC C1 THURSCUBS-R2JB5NA6 16122501284278000R 162224     10 24FEB25 12:25</t>
  </si>
  <si>
    <t>GC C1 THURSBEAVERS-YHC68 21122441555229000R 162224     10 24FEB25 12:24</t>
  </si>
  <si>
    <t>GC C1 SCOUTS-J3BZZZS8ZMR 45121355484800000R 162224     10 25FEB25 12:13</t>
  </si>
  <si>
    <t>ESSO PETROLEUM COM EXXONMOBILDONATSCO</t>
  </si>
  <si>
    <t>GC C1 SCOUTS-5YQYWJS666Z 55121139478882000R 162224     10 26FEB25 12:11</t>
  </si>
  <si>
    <t>GC C1 THURSCUBS-ETBV3HK5 23121102098597000R 162224     10 28FEB25 12:11</t>
  </si>
  <si>
    <t>GC C1 MONCUBS-ZS9HNYGDRD 39121054375249000R 162224     10 28FEB25 12:10</t>
  </si>
  <si>
    <t>GC C1 MONCUBS-N6ZKP2MNJN 55161608534786000R 162224     10 03MAR25 16:16</t>
  </si>
  <si>
    <t>GC C1 SCOUTS-SXKN3JYBG3Y 10160908838073000R 162224     10 03MAR25 16:09</t>
  </si>
  <si>
    <t>CHARLOTTE PARKINS HALL RENTAL CBBPI1413134666897 826208     10 04MAR25 14:13</t>
  </si>
  <si>
    <t>CHARLOTTE PARKINS KINDLING SALES CBBPI1405044665562 826208     10 04MAR25 14:05</t>
  </si>
  <si>
    <t>GC C1 SCOUTS-WS2WEW5EPG6 26130744697096000R 162224     10 04MAR25 13:07</t>
  </si>
  <si>
    <t>CLACKS DISTRICT SC 300000001522309367 INV 2025/003 R44 802260     10 04MAR25 11:41</t>
  </si>
  <si>
    <t>GC C1 THURSCUBS-ZE9Z6KBQ 64124915838312000R 162224     10 05MAR25 12:49</t>
  </si>
  <si>
    <t>MR THOMAS DODD 600000001520076329 R47 CUBS EXCLAIM 404773     10 06MAR25 21:39</t>
  </si>
  <si>
    <t>GC C1 THURSCUBS-S3SV4BTS 40121144317382000R 162224     10 06MAR25 12:11</t>
  </si>
  <si>
    <t>GC C1 THURSBEAVERS-TCCQB 51122934676432000R 162224     10 07MAR25 12:29</t>
  </si>
  <si>
    <t>WALKER FIRE UK LTD 500000001521734232 25757769  R45 010053     10 09MAR25 13:06</t>
  </si>
  <si>
    <t>GLASGOW SCOUT SHOP 100000001512559591 9768511 R48 808333     10 09MAR25 13:05</t>
  </si>
  <si>
    <t>AMANDA COOPER 300000001525154152 R46 CUBS 110367     10 09MAR25 13:04</t>
  </si>
  <si>
    <t>SQUARE T320XAJ7KS9SNJH 70927917304283548 040345     40 16MAR25 15:51</t>
  </si>
  <si>
    <t>SQUARE T32876HTXKP9KW0 91552933866011803 040345     40 16MAR25 15:46</t>
  </si>
  <si>
    <t>GC C1 MONBEAVERS</t>
  </si>
  <si>
    <t>CAMERO A &amp; S LUKE CAMERON Squirrels</t>
  </si>
  <si>
    <t>JONATHAN BACON MEGBACON-SQUIRRELS</t>
  </si>
  <si>
    <t xml:space="preserve">CATRIONA BASQUILL MICALLEF </t>
  </si>
  <si>
    <t>Expend.</t>
  </si>
  <si>
    <t>DEP</t>
  </si>
  <si>
    <t xml:space="preserve">GC C1 THURSCUBS-YFRYQAJY 61123634566361000R 162224 10 </t>
  </si>
  <si>
    <t>CLARE CRESSWELL PH TAI CHI CLARE P6GMDXX3M9XPX1ARK9 040003 10 30MAR25 22:07</t>
  </si>
  <si>
    <t>Line No.</t>
  </si>
  <si>
    <t>Ind. Exam. Check</t>
  </si>
  <si>
    <t>Yes - Income</t>
  </si>
  <si>
    <t>Yes - Expenses</t>
  </si>
  <si>
    <t>Yes - Expenses (Bank)</t>
  </si>
  <si>
    <t>2nd Dollar Scout Group</t>
  </si>
  <si>
    <t>Independent Examiner's Report</t>
  </si>
  <si>
    <t>Year ended 31 March 2024</t>
  </si>
  <si>
    <t>Independent Examiner's Report to the Trustees of the 2nd Dollar Scout Group</t>
  </si>
  <si>
    <t>Respective responsibilities of Trustees and Examiner</t>
  </si>
  <si>
    <t>The Group's Trustees are responsible for the preparation of the accounts in accordance with the Charities and Trustee Investment (Scotland) Act 2005 ("the Act") and the Charities Accounts (Scotland) Regulations 2006 (as amended) ("the Regulations").  The Group's Trustees consider that the audit requirement of Regulation 10(1)(d) does not apply.  It is my responsibility to examine the accounts as required under section 44(1)(c) of the Act and to state whether particular matters have come to my attention.</t>
  </si>
  <si>
    <t>Basis of Independent Examiner's Statement</t>
  </si>
  <si>
    <t>My examination is carried out in accordance with the Regulation 11 of the Charities Accounts (Scotland) Regulations 2006 (as amended).   An examination includes a review of the accounting records kept by the Group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</si>
  <si>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</si>
  <si>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</si>
  <si>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(1)</t>
  </si>
  <si>
    <t>which gives me reasonable cause to believe that in any material respect, the requirements</t>
  </si>
  <si>
    <t xml:space="preserve">     (a) to keep accounting records in accordance with section 44(1) (a) of the 2005 Act and Regulation 4 of the 2006 Accounts Regulations, and</t>
  </si>
  <si>
    <t xml:space="preserve">     (b) to prepare accounts which accord with the accounting records and comply with the Regulation 9 of the 2006 Accounts Regulations</t>
  </si>
  <si>
    <t>Struan Robertson F.C.C.A.</t>
  </si>
  <si>
    <t>94 Bridge Street</t>
  </si>
  <si>
    <t>Dollar</t>
  </si>
  <si>
    <t>FK14 7DH</t>
  </si>
  <si>
    <t>Page 2</t>
  </si>
  <si>
    <t>Receipts &amp; Payments Account</t>
  </si>
  <si>
    <t>Unrestricted</t>
  </si>
  <si>
    <t>Restricted</t>
  </si>
  <si>
    <t>Funds</t>
  </si>
  <si>
    <t>Note</t>
  </si>
  <si>
    <t>£</t>
  </si>
  <si>
    <t>RECEIPTS</t>
  </si>
  <si>
    <t>Voluntary Income</t>
  </si>
  <si>
    <t>Subscriptions and Camp Fees</t>
  </si>
  <si>
    <t>Gift Aid - 2020 &amp; 2021</t>
  </si>
  <si>
    <t>Hoodies</t>
  </si>
  <si>
    <t>Group Activities</t>
  </si>
  <si>
    <t>Total Receipts</t>
  </si>
  <si>
    <t>PAYMENTS</t>
  </si>
  <si>
    <t>Programme Activities</t>
  </si>
  <si>
    <t>Camps</t>
  </si>
  <si>
    <t>Uniform Costs -Neckers /SHIRTS</t>
  </si>
  <si>
    <t xml:space="preserve">Equipment Purchase </t>
  </si>
  <si>
    <t>OSM costs</t>
  </si>
  <si>
    <t>Total Payments</t>
  </si>
  <si>
    <t>Page 3</t>
  </si>
  <si>
    <t>Statement of Balances</t>
  </si>
  <si>
    <t>Assets</t>
  </si>
  <si>
    <t>Bank Current Account</t>
  </si>
  <si>
    <t>Statement Balance as at 31 March</t>
  </si>
  <si>
    <t>Less: unpresented cheques at 31 March</t>
  </si>
  <si>
    <t>Reconciled balance at 31 March</t>
  </si>
  <si>
    <t>Total Assets</t>
  </si>
  <si>
    <t>Surplus/(Deficit)</t>
  </si>
  <si>
    <t>(Deficit)/surplus for the year</t>
  </si>
  <si>
    <t xml:space="preserve">The Group owns the Scout Hall at Chapel Place, Dollar, FK14 7DW.  </t>
  </si>
  <si>
    <t xml:space="preserve">The title is held in the names of the Region Commissioner, Chairman, Secretary &amp; Treasurer for the time being of Forth Region Scout Council on behalf of the Group. </t>
  </si>
  <si>
    <t xml:space="preserve">In addition the Group owns an amount of camping equipment purchased over many years.  </t>
  </si>
  <si>
    <t>Liabilities</t>
  </si>
  <si>
    <t xml:space="preserve">The Group has no material liabilities or obligations. </t>
  </si>
  <si>
    <t>The Notes on Page 5 form an integral part of these Accounts.</t>
  </si>
  <si>
    <t>Approved by the Group Trustee Board on ………………..……. and signed on its behalf by:-</t>
  </si>
  <si>
    <t>……………………                                      ……………………………</t>
  </si>
  <si>
    <t>Chairman                                                 Treasurer</t>
  </si>
  <si>
    <t>Page 4</t>
  </si>
  <si>
    <t>Year ended 31 March 2025</t>
  </si>
  <si>
    <t>I report on the financial statements of the 2nd Dollar Scout Group ("the Group") for the year ended 31 March 2025 which are set out on pages 3 to 5.</t>
  </si>
  <si>
    <t xml:space="preserve">     Fund-Raising Activites</t>
  </si>
  <si>
    <t xml:space="preserve">     Other Events and Miscellaneous Income</t>
  </si>
  <si>
    <t>Scout Hall costs</t>
  </si>
  <si>
    <t>Other costs</t>
  </si>
  <si>
    <t>Balance brought forward at 1 April 2024</t>
  </si>
  <si>
    <t>Surplus/(Deficit) for year</t>
  </si>
  <si>
    <t>Balance carried forward at 31 March 2025</t>
  </si>
  <si>
    <t>Scout Headquarters - Annual Subscription</t>
  </si>
  <si>
    <t>Date: 4th May 2025</t>
  </si>
  <si>
    <t>Scottish Charity No SC011013</t>
  </si>
  <si>
    <t>for the</t>
  </si>
  <si>
    <t>Annual Report &amp; Financial Statements</t>
  </si>
  <si>
    <t xml:space="preserve"> </t>
  </si>
  <si>
    <t>Page 1</t>
  </si>
  <si>
    <t>Chairman</t>
  </si>
  <si>
    <t>…………………………..</t>
  </si>
  <si>
    <t>Approved by the Trustee Board on …………………...........….. and signed on its behalf by :-</t>
  </si>
  <si>
    <t xml:space="preserve">The principal risk faced by the Trust is having sufficient volunteers to provide Scouting to the number of children who wish to participate. This is mitigated by encouraging participation by adults and young leaders alike and to ensure all training has been completed.   An additional risk is the cost of maintaining the Scout Hall. </t>
  </si>
  <si>
    <t>Risk management</t>
  </si>
  <si>
    <t>utilities</t>
  </si>
  <si>
    <t xml:space="preserve">The Trustees believe that around six months of our normal annual expenditure (£6,000) is an appropriate level of reserves in order to cover the timing differences between receipts and payments and to allow for any unexpected items of expenditure on an aged Scout Hall or the replacement of ageing equipment. </t>
  </si>
  <si>
    <t>Reserves Policy</t>
  </si>
  <si>
    <t>Activities &amp; Achievements</t>
  </si>
  <si>
    <t>Trustees are recruited and appointed in accordance with the Policy, Organisation &amp; Rules ("POR") of the Scout Association.</t>
  </si>
  <si>
    <t>from October 2023</t>
  </si>
  <si>
    <t>Nicholas Schellenberg</t>
  </si>
  <si>
    <t>from August 2021</t>
  </si>
  <si>
    <t>GSL</t>
  </si>
  <si>
    <t>Andrew Macnamara</t>
  </si>
  <si>
    <t>from February 2023</t>
  </si>
  <si>
    <t>Treasurer</t>
  </si>
  <si>
    <t>Reed Ozretich</t>
  </si>
  <si>
    <t>from Sept 2023</t>
  </si>
  <si>
    <t>Secretary</t>
  </si>
  <si>
    <t>Jane Scott</t>
  </si>
  <si>
    <t>from May 2015</t>
  </si>
  <si>
    <t>Les Barker</t>
  </si>
  <si>
    <t>Trustee Board / Committee Members</t>
  </si>
  <si>
    <t>based on the Scout Promise and Law and guided by adult leadership.</t>
  </si>
  <si>
    <t xml:space="preserve">The method of achieving the aim of the Association is by providing an enjoyable and attractive scheme of progressive training, </t>
  </si>
  <si>
    <t>and spiritual potentials, as individuals, as responsible citizens and as members of their local, national and international communities.</t>
  </si>
  <si>
    <t xml:space="preserve">The purpose of The Scout Association is to promote the development of young people in achieving their full physical, intellectual, social </t>
  </si>
  <si>
    <t xml:space="preserve">No SC011013. </t>
  </si>
  <si>
    <t xml:space="preserve">The Group is a registered Scottish Charity - </t>
  </si>
  <si>
    <t>The Scout Group is constituted in terms of the Rules of The Scout Association, which is a charitable body incorporated by Royal Charter.</t>
  </si>
  <si>
    <t>Constitution &amp; Purpose</t>
  </si>
  <si>
    <t xml:space="preserve">The Group's name is the 2nd Dollar Scout Group and it may be contacted at Dollar Scout Hall, 2 Chapel Place, Dollar, FK14 7DW. </t>
  </si>
  <si>
    <t>Name &amp; Address</t>
  </si>
  <si>
    <t xml:space="preserve">The Trustee Board (was the Executive Committee) have pleasure in presenting their report together with the financial statements and the independent examiner's report for the year ended 31 March 2025.  </t>
  </si>
  <si>
    <t>Trustees' Annual Report</t>
  </si>
  <si>
    <t>Many thanks to all who joined us for the parallel Beaver/Squirrel, Cub and Scout hikes that we did back in May 2024 as part of the inaugural TrailJam badge.  All three of our hike routes terminated at Castle Campbell where on completion of the hike we held our 60th anniversary members and family picnic in the glorious sunshine.  It was great to have such a turnout for the event and many thanks to the team at Historic Environment Scotland for accommodating us.  The sunshine continued for the Dollar Gala, where everyone enjoyed our soft archery stall, which was complemented by our Lego ‘fire’ pit walk, which was surprisingly popular.  Our 60th anniversary pop-up-museum was also well attended and it was great to meet so many former members and leaders and hear all the stories from our past.  For those who missed it, a full write-up of our history will be published in due course.  
The fun didn’t stop for the summer holidays.  In July, my wife and I were honoured to represent Clackmannanshire Scouts at His Majesty’s Garden Party at the Palace of Holyroodhouse.  Later in July, a dozen of our Scouts headed up to Scout Adventures Lochgoilhead for the annual ScotJam Scouts Camp and the following week a couple of our Cubs took their turn at the ScotJam Cubs Camp.
Word of our Squirrel Drey (for 4-6 year olds) got out over the summer and we were overwhelmed with new members when we started back for the new term.  The great news is that we’ve also been able to attract a number of new Squirrel Leaders which is allowing us to grow the section.  We’ve also been able to resurrect the Wee County Explorer Scout Unit (for 14-18 year olds) which was previously based out of Sauchie Scout Hall, but since August has been operating out of the Dollar Scout Hall.
In September we were lucky enough to gain a place at the Howling camp for Cubs at Fordell Firs.  This is the main event for any Cub, and 18 of our Cubs from our Monday and Thursday packs were able to join 500 Cubs from around the country for an amazing weekend of activities and fun.
October saw us helping out with some of the other local groups and societies, with all our sections helping to deliver Music in Dollar programmes to homes in Dollar and our Beavers and Cubs really enjoyed lending a hand with Silver Sunday at the Hive.  We also kicked off our kindling sales.  Local resident Donald chops all the kindling and we sell it, with the money raised being split between the Scout Group and Donald’s selected charity (the Macular Society).  Many thanks to all who bought a sack or two of kindling from us and if you’d like more then please keep an eye on our Facebook page for future sales dates.  Over the October break, one of our new Explorers was able to attend the first ScotJam Explorers Camp up at Scout Adventures Lochgoilhead.
Scouts Scotland launched the Fordell Freeze Camp in November, with 7 of our most hardy Scouts signing up to join nearly 400 Scouts from across the country at this brand new event.  With storm Bert arriving at the same weekend the Scouts battled howling winds, freezing temperatures and heavy snow.  This could have been disastrous, but with good preparation, the right kit, positive attitudes and team spirit we not survived, but thrived.  By happenchance we ended up camping alongside Scouts from Menstrie and Alva, so it was great to team up with them and enjoy the camp together.
It was the Beavers turn for a camp in December, but they wisely opted for spy themed sleepover in the Scout Hall.
In January the Explorers put on a series of Burns suppers for all our sections, feeding over 130 kids and leaders and raising nearly £500 in the process.  The money raised was donated to the My Name’5 Doddie Foundation, which is the charity the Explorers have elected to support.  The Explorers are the first (and so far only) group to be given permission to use the Doddie tartan for their neckies.  Watch out for more fund raising by the Explorers at the Dollar Gala in June.
Having been inspired by those who experienced winter camping back in November at the Fordell Freeze, 20 of our Scouts and Explorers took on the International Bivvybag Day challenge of camping out overnight in late February, without a tent!  We were the only group present at the Nineacres site in Crook of Devon, with all our Scouts and Explorers happy in their hammocks, despite the sub zero overnight temperatures.
March and April were busy with all the usual fun activities and as the nights got lighter we were able to enjoy more outside time in our weekly meetings and we’re now getting into full swing with the Scouts and Explorers soon to head off to the Scout’s Longcraig Water Sports Centre and we have a full Group camp later in May, where we’ll have around 60 kids from Squirrels all the way up through Beavers, Cubs, Scouts to Explorers all camping together.
That brings you up to speed with all the main activities that we’ve been up to.  I would however like to thank our leaders and the many others who’ve contributed over the last year to put on such an amazing programme.  I really do mean amazing, as in addition to the main activities I’ve mentioned, in our weekly meetings we’ve covered; science experiments, making and flying kites, sports nights, mini raft building (and sailing), den building, wool spinning, cycling, kayaking, making water filters, wayfaring, making dye from plants, scavenger hunts, apple pressing, coding and encrypting, physical training with a former Para, bulb planting, fire station visit, mosque visit, curling at Kinross, building AM/FM radios, fire lighting, learning about saving money, night hikes, crafting, knot tying, bird feeder making, celebrating Chinese new year, making human cantilever models of the Forth Bridge, catapult making, Taekwondo, Pets at Home visit, Police visit, alpaca walking, litter picking, astronomy, Air Ambulance Paramedic visit, lego bridge building, music and talent nights, water safety, tree planting, bottle feeding lambs, pond dipping, paper plane making, badge sewing (with 6 year olds!) and lots of being outside at Mill Green and Law Hill.  So many thanks to all who have contributed and helped to pull this all together.</t>
  </si>
  <si>
    <t>Alex Croucher</t>
  </si>
  <si>
    <t>Trustee</t>
  </si>
  <si>
    <t>From June 2024</t>
  </si>
  <si>
    <t>inputs: Esso grants, kindling sales, other fundraising activities!</t>
  </si>
  <si>
    <t>outputs: building insurance and upkeep, camps!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</si>
</sst>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Red]\-&quot;£&quot;#,##0.00"/>
    <numFmt numFmtId="43" formatCode="_-* #,##0.00_-;\-* #,##0.00_-;_-* &quot;-&quot;??_-;_-@_-"/>
    <numFmt numFmtId="164" formatCode="#,##0.00;[Red]\(#,##0.00\)"/>
    <numFmt numFmtId="165" formatCode="#,##0.00;[Red]#,##0.00"/>
    <numFmt numFmtId="166" formatCode="dd/mm/yy;@"/>
    <numFmt numFmtId="167" formatCode="&quot;£&quot;#,##0.00"/>
    <numFmt numFmtId="168" formatCode="dd/mm/yyyy;@"/>
    <numFmt numFmtId="169" formatCode="[$-F800]dddd\,\ mmmm\ dd\,\ yyyy"/>
    <numFmt numFmtId="170" formatCode="&quot;£&quot;#,##0.00;[Red]&quot;£&quot;#,##0.00"/>
    <numFmt numFmtId="171" formatCode="0.00_ ;[Red]\-0.00\ "/>
    <numFmt numFmtId="172" formatCode="0.00;[Red]0.00"/>
    <numFmt numFmtId="173" formatCode="#,##0.000000000000;[Red]#,##0.000000000000"/>
  </numFmts>
  <fonts count="22" x14ac:knownFonts="1">
    <font>
      <sz val="11"/>
      <color theme="1"/>
      <name val="Calibri"/>
      <family val="2"/>
      <scheme val="minor"/>
    </font>
    <font>
      <b/>
      <sz val="11"/>
      <color theme="1"/>
      <name val="Calibri"/>
      <family val="2"/>
      <scheme val="minor"/>
    </font>
    <font>
      <b/>
      <sz val="10"/>
      <name val="Arial"/>
      <family val="2"/>
    </font>
    <font>
      <sz val="10"/>
      <name val="Arial"/>
      <family val="2"/>
    </font>
    <font>
      <b/>
      <u/>
      <sz val="12"/>
      <name val="Arial"/>
      <family val="2"/>
    </font>
    <font>
      <sz val="10"/>
      <color theme="1"/>
      <name val="Calibri"/>
      <family val="2"/>
      <scheme val="minor"/>
    </font>
    <font>
      <b/>
      <sz val="11"/>
      <color rgb="FFFFFFFF"/>
      <name val="Arial"/>
      <family val="2"/>
    </font>
    <font>
      <sz val="11"/>
      <color rgb="FF000000"/>
      <name val="Arial"/>
      <family val="2"/>
    </font>
    <font>
      <sz val="11"/>
      <color theme="1"/>
      <name val="Arial"/>
      <family val="2"/>
    </font>
    <font>
      <sz val="11"/>
      <color rgb="FFFF0000"/>
      <name val="Calibri"/>
      <family val="2"/>
      <scheme val="minor"/>
    </font>
    <font>
      <sz val="9"/>
      <color rgb="FF000000"/>
      <name val="Arial"/>
      <family val="2"/>
    </font>
    <font>
      <sz val="9"/>
      <color theme="1"/>
      <name val="Calibri"/>
      <family val="2"/>
      <scheme val="minor"/>
    </font>
    <font>
      <i/>
      <sz val="10"/>
      <name val="Arial"/>
      <family val="2"/>
    </font>
    <font>
      <b/>
      <i/>
      <sz val="10"/>
      <name val="Arial"/>
      <family val="2"/>
    </font>
    <font>
      <sz val="12"/>
      <color theme="1"/>
      <name val="Arial"/>
      <family val="2"/>
    </font>
    <font>
      <u/>
      <sz val="10"/>
      <name val="Arial"/>
      <family val="2"/>
    </font>
    <font>
      <b/>
      <sz val="12"/>
      <name val="Arial"/>
      <family val="2"/>
    </font>
    <font>
      <sz val="12"/>
      <name val="Arial"/>
      <family val="2"/>
    </font>
    <font>
      <sz val="12"/>
      <color theme="1"/>
      <name val="Calibri"/>
      <family val="2"/>
      <scheme val="minor"/>
    </font>
    <font>
      <sz val="11"/>
      <color theme="1"/>
      <name val="Calibri"/>
      <family val="2"/>
      <scheme val="minor"/>
    </font>
    <font>
      <sz val="11"/>
      <name val="Arial"/>
      <family val="2"/>
    </font>
    <font>
      <b/>
      <sz val="11"/>
      <name val="Arial"/>
      <family val="2"/>
    </font>
  </fonts>
  <fills count="1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rgb="FF000000"/>
        <bgColor rgb="FF000000"/>
      </patternFill>
    </fill>
    <fill>
      <patternFill patternType="solid">
        <fgColor rgb="FFFFFFFF"/>
        <bgColor rgb="FFFFFFFF"/>
      </patternFill>
    </fill>
    <fill>
      <patternFill patternType="solid">
        <fgColor theme="0"/>
        <bgColor rgb="FFFFFFFF"/>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right/>
      <top/>
      <bottom style="double">
        <color indexed="64"/>
      </bottom>
      <diagonal/>
    </border>
  </borders>
  <cellStyleXfs count="6">
    <xf numFmtId="0" fontId="0"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cellStyleXfs>
  <cellXfs count="288">
    <xf numFmtId="0" fontId="0" fillId="0" borderId="0" xfId="0"/>
    <xf numFmtId="0" fontId="2" fillId="0" borderId="0" xfId="0" applyFont="1"/>
    <xf numFmtId="0" fontId="0" fillId="2" borderId="1" xfId="0" applyFill="1" applyBorder="1"/>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wrapText="1"/>
    </xf>
    <xf numFmtId="0" fontId="0" fillId="0" borderId="0" xfId="0" applyAlignment="1">
      <alignment wrapText="1"/>
    </xf>
    <xf numFmtId="0" fontId="0" fillId="0" borderId="1" xfId="0" applyBorder="1"/>
    <xf numFmtId="0" fontId="0" fillId="2" borderId="1" xfId="0" applyFill="1" applyBorder="1" applyAlignment="1">
      <alignment horizontal="center" vertical="center"/>
    </xf>
    <xf numFmtId="14" fontId="0" fillId="0" borderId="0" xfId="0" applyNumberFormat="1"/>
    <xf numFmtId="0" fontId="0" fillId="0" borderId="1" xfId="0" applyBorder="1" applyAlignment="1">
      <alignment horizontal="center" vertical="center"/>
    </xf>
    <xf numFmtId="0" fontId="3" fillId="0" borderId="0" xfId="0" applyFont="1"/>
    <xf numFmtId="0" fontId="0" fillId="4" borderId="0" xfId="0" applyFill="1"/>
    <xf numFmtId="0" fontId="4" fillId="0" borderId="0" xfId="0" applyFont="1" applyAlignment="1">
      <alignment horizontal="left"/>
    </xf>
    <xf numFmtId="0" fontId="0" fillId="0" borderId="0" xfId="0" applyAlignment="1">
      <alignment horizontal="right"/>
    </xf>
    <xf numFmtId="164" fontId="0" fillId="0" borderId="0" xfId="0" applyNumberFormat="1"/>
    <xf numFmtId="164" fontId="0" fillId="0" borderId="1" xfId="0" applyNumberFormat="1" applyBorder="1" applyAlignment="1">
      <alignment wrapText="1"/>
    </xf>
    <xf numFmtId="0" fontId="4" fillId="5" borderId="0" xfId="0" applyFont="1" applyFill="1" applyAlignment="1">
      <alignment horizontal="left"/>
    </xf>
    <xf numFmtId="0" fontId="0" fillId="5" borderId="0" xfId="0" applyFill="1" applyAlignment="1">
      <alignment wrapText="1"/>
    </xf>
    <xf numFmtId="164" fontId="0" fillId="0" borderId="0" xfId="0" applyNumberFormat="1" applyAlignment="1">
      <alignment horizontal="center"/>
    </xf>
    <xf numFmtId="0" fontId="0" fillId="0" borderId="0" xfId="0" applyAlignment="1">
      <alignment horizontal="right" wrapText="1"/>
    </xf>
    <xf numFmtId="164" fontId="0" fillId="0" borderId="0" xfId="0" applyNumberFormat="1" applyAlignment="1">
      <alignment wrapText="1"/>
    </xf>
    <xf numFmtId="164" fontId="0" fillId="0" borderId="13" xfId="0" applyNumberFormat="1" applyBorder="1" applyAlignment="1">
      <alignment wrapText="1"/>
    </xf>
    <xf numFmtId="164" fontId="0" fillId="0" borderId="14" xfId="0" applyNumberFormat="1" applyBorder="1" applyAlignment="1">
      <alignment wrapText="1"/>
    </xf>
    <xf numFmtId="0" fontId="0" fillId="0" borderId="1" xfId="0" applyBorder="1" applyAlignment="1">
      <alignment horizontal="left" wrapText="1"/>
    </xf>
    <xf numFmtId="0" fontId="0" fillId="0" borderId="1" xfId="0" applyBorder="1" applyAlignment="1">
      <alignment wrapText="1"/>
    </xf>
    <xf numFmtId="164" fontId="0" fillId="0" borderId="2" xfId="0" applyNumberFormat="1" applyBorder="1" applyAlignment="1">
      <alignment wrapText="1"/>
    </xf>
    <xf numFmtId="164" fontId="0" fillId="6" borderId="1" xfId="0" applyNumberFormat="1" applyFill="1" applyBorder="1" applyAlignment="1">
      <alignment wrapText="1"/>
    </xf>
    <xf numFmtId="164" fontId="0" fillId="6" borderId="13" xfId="0" applyNumberFormat="1" applyFill="1" applyBorder="1" applyAlignment="1">
      <alignment wrapText="1"/>
    </xf>
    <xf numFmtId="164" fontId="0" fillId="7" borderId="1" xfId="0" applyNumberFormat="1" applyFill="1" applyBorder="1" applyAlignment="1">
      <alignment wrapText="1"/>
    </xf>
    <xf numFmtId="164" fontId="0" fillId="0" borderId="15" xfId="0" applyNumberFormat="1" applyBorder="1" applyAlignment="1">
      <alignment wrapText="1"/>
    </xf>
    <xf numFmtId="164" fontId="3" fillId="0" borderId="13" xfId="0" applyNumberFormat="1" applyFont="1" applyBorder="1" applyAlignment="1">
      <alignment wrapText="1"/>
    </xf>
    <xf numFmtId="164" fontId="3" fillId="0" borderId="1" xfId="0" applyNumberFormat="1" applyFont="1" applyBorder="1" applyAlignment="1">
      <alignment wrapText="1"/>
    </xf>
    <xf numFmtId="164" fontId="3" fillId="0" borderId="14" xfId="0" applyNumberFormat="1" applyFont="1" applyBorder="1" applyAlignment="1">
      <alignment wrapText="1"/>
    </xf>
    <xf numFmtId="164" fontId="0" fillId="0" borderId="1" xfId="0" applyNumberFormat="1" applyBorder="1" applyAlignment="1">
      <alignment horizontal="center" wrapText="1"/>
    </xf>
    <xf numFmtId="0" fontId="0" fillId="0" borderId="1" xfId="0" applyBorder="1" applyAlignment="1">
      <alignment horizontal="center" wrapText="1"/>
    </xf>
    <xf numFmtId="164" fontId="3" fillId="0" borderId="1" xfId="0" applyNumberFormat="1" applyFont="1" applyBorder="1" applyAlignment="1">
      <alignment horizontal="center" wrapText="1"/>
    </xf>
    <xf numFmtId="164" fontId="0" fillId="0" borderId="14" xfId="0" applyNumberFormat="1" applyBorder="1" applyAlignment="1">
      <alignment horizontal="center" wrapText="1"/>
    </xf>
    <xf numFmtId="164" fontId="0" fillId="0" borderId="10" xfId="0" applyNumberFormat="1" applyBorder="1" applyAlignment="1">
      <alignment wrapText="1"/>
    </xf>
    <xf numFmtId="164" fontId="0" fillId="0" borderId="11" xfId="0" applyNumberFormat="1" applyBorder="1" applyAlignment="1">
      <alignment wrapText="1"/>
    </xf>
    <xf numFmtId="164" fontId="0" fillId="0" borderId="12" xfId="0" applyNumberFormat="1" applyBorder="1" applyAlignment="1">
      <alignment wrapText="1"/>
    </xf>
    <xf numFmtId="0" fontId="3" fillId="0" borderId="0" xfId="0" applyFont="1" applyAlignment="1">
      <alignment wrapText="1"/>
    </xf>
    <xf numFmtId="168" fontId="0" fillId="0" borderId="1" xfId="0" applyNumberFormat="1" applyBorder="1" applyAlignment="1">
      <alignment horizontal="left"/>
    </xf>
    <xf numFmtId="164" fontId="0" fillId="0" borderId="1" xfId="0" applyNumberFormat="1" applyBorder="1"/>
    <xf numFmtId="164" fontId="0" fillId="2" borderId="1" xfId="0" applyNumberFormat="1" applyFill="1" applyBorder="1" applyAlignment="1">
      <alignment wrapText="1"/>
    </xf>
    <xf numFmtId="164" fontId="0" fillId="2" borderId="14" xfId="0" applyNumberFormat="1" applyFill="1" applyBorder="1" applyAlignment="1">
      <alignment wrapText="1"/>
    </xf>
    <xf numFmtId="164" fontId="0" fillId="2" borderId="13" xfId="0" applyNumberFormat="1" applyFill="1" applyBorder="1" applyAlignment="1">
      <alignment wrapText="1"/>
    </xf>
    <xf numFmtId="164" fontId="0" fillId="2" borderId="13" xfId="0" applyNumberFormat="1" applyFill="1" applyBorder="1"/>
    <xf numFmtId="164" fontId="0" fillId="2" borderId="1" xfId="0" applyNumberFormat="1" applyFill="1" applyBorder="1"/>
    <xf numFmtId="164" fontId="3" fillId="2" borderId="1" xfId="0" applyNumberFormat="1" applyFont="1" applyFill="1" applyBorder="1"/>
    <xf numFmtId="164" fontId="0" fillId="2" borderId="14" xfId="0" applyNumberFormat="1" applyFill="1" applyBorder="1"/>
    <xf numFmtId="2" fontId="0" fillId="0" borderId="0" xfId="0" applyNumberFormat="1" applyAlignment="1">
      <alignment wrapText="1"/>
    </xf>
    <xf numFmtId="164" fontId="0" fillId="0" borderId="13" xfId="0" applyNumberFormat="1" applyBorder="1"/>
    <xf numFmtId="164" fontId="0" fillId="0" borderId="14" xfId="0" applyNumberFormat="1" applyBorder="1"/>
    <xf numFmtId="0" fontId="0" fillId="0" borderId="16" xfId="0" applyBorder="1"/>
    <xf numFmtId="164" fontId="3" fillId="2" borderId="2" xfId="0" applyNumberFormat="1" applyFont="1" applyFill="1" applyBorder="1" applyAlignment="1">
      <alignment wrapText="1"/>
    </xf>
    <xf numFmtId="164" fontId="3" fillId="2" borderId="13" xfId="0" applyNumberFormat="1" applyFont="1" applyFill="1" applyBorder="1"/>
    <xf numFmtId="164" fontId="3" fillId="2" borderId="14" xfId="0" applyNumberFormat="1" applyFont="1" applyFill="1" applyBorder="1"/>
    <xf numFmtId="164" fontId="0" fillId="2" borderId="0" xfId="0" applyNumberFormat="1" applyFill="1"/>
    <xf numFmtId="164" fontId="0" fillId="2" borderId="0" xfId="0" applyNumberFormat="1" applyFill="1" applyAlignment="1">
      <alignment wrapText="1"/>
    </xf>
    <xf numFmtId="164" fontId="0" fillId="2" borderId="17" xfId="0" applyNumberFormat="1" applyFill="1" applyBorder="1"/>
    <xf numFmtId="164" fontId="0" fillId="0" borderId="18" xfId="0" applyNumberFormat="1" applyBorder="1"/>
    <xf numFmtId="164" fontId="0" fillId="2" borderId="18" xfId="0" applyNumberFormat="1" applyFill="1" applyBorder="1" applyAlignment="1">
      <alignment wrapText="1"/>
    </xf>
    <xf numFmtId="0" fontId="3" fillId="0" borderId="1" xfId="0" applyFont="1" applyBorder="1" applyAlignment="1">
      <alignment wrapText="1"/>
    </xf>
    <xf numFmtId="164" fontId="0" fillId="0" borderId="2" xfId="0" applyNumberFormat="1" applyBorder="1"/>
    <xf numFmtId="0" fontId="0" fillId="0" borderId="13" xfId="0" applyBorder="1"/>
    <xf numFmtId="164" fontId="1" fillId="0" borderId="1" xfId="0" applyNumberFormat="1" applyFont="1" applyBorder="1" applyAlignment="1">
      <alignment wrapText="1"/>
    </xf>
    <xf numFmtId="14" fontId="0" fillId="0" borderId="3" xfId="0" applyNumberFormat="1" applyBorder="1" applyAlignment="1">
      <alignment horizontal="left"/>
    </xf>
    <xf numFmtId="164" fontId="1" fillId="0" borderId="1" xfId="0" applyNumberFormat="1" applyFont="1" applyBorder="1"/>
    <xf numFmtId="14" fontId="0" fillId="2" borderId="3" xfId="0" applyNumberFormat="1" applyFill="1" applyBorder="1" applyAlignment="1">
      <alignment horizontal="left"/>
    </xf>
    <xf numFmtId="0" fontId="0" fillId="2" borderId="1" xfId="0" applyFill="1" applyBorder="1" applyAlignment="1">
      <alignment wrapText="1"/>
    </xf>
    <xf numFmtId="164" fontId="0" fillId="2" borderId="2" xfId="0" applyNumberFormat="1" applyFill="1" applyBorder="1"/>
    <xf numFmtId="164" fontId="0" fillId="2" borderId="15" xfId="0" applyNumberFormat="1" applyFill="1" applyBorder="1" applyAlignment="1">
      <alignment wrapText="1"/>
    </xf>
    <xf numFmtId="2" fontId="0" fillId="2" borderId="0" xfId="0" applyNumberFormat="1" applyFill="1" applyAlignment="1">
      <alignment wrapText="1"/>
    </xf>
    <xf numFmtId="0" fontId="0" fillId="2" borderId="0" xfId="0" applyFill="1"/>
    <xf numFmtId="0" fontId="0" fillId="2" borderId="13" xfId="0" applyFill="1" applyBorder="1"/>
    <xf numFmtId="164" fontId="0" fillId="2" borderId="18" xfId="0" applyNumberFormat="1" applyFill="1" applyBorder="1"/>
    <xf numFmtId="164" fontId="0" fillId="0" borderId="3" xfId="0" applyNumberFormat="1" applyBorder="1"/>
    <xf numFmtId="164" fontId="1" fillId="2" borderId="1" xfId="0" applyNumberFormat="1" applyFont="1" applyFill="1" applyBorder="1" applyAlignment="1">
      <alignment wrapText="1"/>
    </xf>
    <xf numFmtId="164" fontId="1" fillId="2" borderId="1" xfId="0" applyNumberFormat="1" applyFont="1" applyFill="1" applyBorder="1"/>
    <xf numFmtId="0" fontId="1" fillId="0" borderId="1" xfId="0" applyFont="1" applyBorder="1"/>
    <xf numFmtId="164" fontId="1" fillId="0" borderId="3" xfId="0" applyNumberFormat="1" applyFont="1" applyBorder="1"/>
    <xf numFmtId="164" fontId="1" fillId="0" borderId="2" xfId="0" applyNumberFormat="1" applyFont="1" applyBorder="1"/>
    <xf numFmtId="165" fontId="0" fillId="0" borderId="1" xfId="0" applyNumberFormat="1" applyBorder="1"/>
    <xf numFmtId="0" fontId="0" fillId="0" borderId="20" xfId="0" applyBorder="1" applyAlignment="1">
      <alignment wrapText="1"/>
    </xf>
    <xf numFmtId="0" fontId="0" fillId="0" borderId="20" xfId="0" applyBorder="1"/>
    <xf numFmtId="164" fontId="0" fillId="0" borderId="20" xfId="0" applyNumberFormat="1" applyBorder="1"/>
    <xf numFmtId="164" fontId="0" fillId="0" borderId="21" xfId="0" applyNumberFormat="1" applyBorder="1"/>
    <xf numFmtId="0" fontId="0" fillId="0" borderId="3" xfId="0" applyBorder="1" applyAlignment="1">
      <alignment horizontal="left"/>
    </xf>
    <xf numFmtId="0" fontId="0" fillId="0" borderId="19" xfId="0" applyBorder="1" applyAlignment="1">
      <alignment horizontal="left"/>
    </xf>
    <xf numFmtId="164" fontId="0" fillId="0" borderId="22" xfId="0" applyNumberFormat="1" applyBorder="1"/>
    <xf numFmtId="164" fontId="0" fillId="0" borderId="23" xfId="0" applyNumberFormat="1" applyBorder="1"/>
    <xf numFmtId="164" fontId="0" fillId="0" borderId="24" xfId="0" applyNumberFormat="1" applyBorder="1"/>
    <xf numFmtId="0" fontId="0" fillId="0" borderId="23" xfId="0" applyBorder="1"/>
    <xf numFmtId="0" fontId="0" fillId="0" borderId="22" xfId="0" applyBorder="1"/>
    <xf numFmtId="0" fontId="0" fillId="0" borderId="0" xfId="0" applyAlignment="1">
      <alignment horizontal="left"/>
    </xf>
    <xf numFmtId="0" fontId="6" fillId="8" borderId="25" xfId="0" applyFont="1" applyFill="1" applyBorder="1" applyAlignment="1">
      <alignment horizontal="right"/>
    </xf>
    <xf numFmtId="49" fontId="7" fillId="9" borderId="1" xfId="0" applyNumberFormat="1" applyFont="1" applyFill="1" applyBorder="1" applyAlignment="1" applyProtection="1">
      <alignment horizontal="left"/>
      <protection locked="0"/>
    </xf>
    <xf numFmtId="49" fontId="7" fillId="9" borderId="1" xfId="0" applyNumberFormat="1" applyFont="1" applyFill="1" applyBorder="1" applyProtection="1">
      <protection locked="0"/>
    </xf>
    <xf numFmtId="49" fontId="7" fillId="9" borderId="1" xfId="0" applyNumberFormat="1" applyFont="1" applyFill="1" applyBorder="1" applyAlignment="1" applyProtection="1">
      <alignment horizontal="left" wrapText="1"/>
      <protection locked="0"/>
    </xf>
    <xf numFmtId="49" fontId="7" fillId="9" borderId="1" xfId="0" applyNumberFormat="1" applyFont="1" applyFill="1" applyBorder="1" applyAlignment="1" applyProtection="1">
      <alignment horizontal="center"/>
      <protection locked="0"/>
    </xf>
    <xf numFmtId="166" fontId="7" fillId="9" borderId="1" xfId="0" applyNumberFormat="1" applyFont="1" applyFill="1" applyBorder="1" applyAlignment="1" applyProtection="1">
      <alignment horizontal="center" vertical="center"/>
      <protection locked="0"/>
    </xf>
    <xf numFmtId="4" fontId="7" fillId="9" borderId="1" xfId="0" applyNumberFormat="1" applyFont="1" applyFill="1" applyBorder="1" applyAlignment="1" applyProtection="1">
      <alignment horizontal="right"/>
      <protection locked="0"/>
    </xf>
    <xf numFmtId="49" fontId="7" fillId="10" borderId="1" xfId="0" applyNumberFormat="1" applyFont="1" applyFill="1" applyBorder="1" applyAlignment="1" applyProtection="1">
      <alignment horizontal="left"/>
      <protection locked="0"/>
    </xf>
    <xf numFmtId="166" fontId="8" fillId="0" borderId="1" xfId="0" applyNumberFormat="1" applyFont="1" applyBorder="1" applyAlignment="1">
      <alignment horizontal="center" vertical="center"/>
    </xf>
    <xf numFmtId="49" fontId="7" fillId="10" borderId="1" xfId="0" applyNumberFormat="1" applyFont="1" applyFill="1" applyBorder="1" applyProtection="1">
      <protection locked="0"/>
    </xf>
    <xf numFmtId="49" fontId="8" fillId="0" borderId="1" xfId="0" applyNumberFormat="1" applyFont="1" applyBorder="1"/>
    <xf numFmtId="0" fontId="8" fillId="0" borderId="1" xfId="0" applyFont="1" applyBorder="1"/>
    <xf numFmtId="49" fontId="7" fillId="9" borderId="26" xfId="0" applyNumberFormat="1" applyFont="1" applyFill="1" applyBorder="1" applyAlignment="1" applyProtection="1">
      <alignment horizontal="left"/>
      <protection locked="0"/>
    </xf>
    <xf numFmtId="49" fontId="7" fillId="9" borderId="26" xfId="0" applyNumberFormat="1" applyFont="1" applyFill="1" applyBorder="1" applyProtection="1">
      <protection locked="0"/>
    </xf>
    <xf numFmtId="49" fontId="8" fillId="0" borderId="0" xfId="0" applyNumberFormat="1" applyFont="1"/>
    <xf numFmtId="166" fontId="8" fillId="0" borderId="0" xfId="0" applyNumberFormat="1" applyFont="1" applyAlignment="1">
      <alignment horizontal="center" vertical="center"/>
    </xf>
    <xf numFmtId="4" fontId="7" fillId="9" borderId="26" xfId="0" applyNumberFormat="1" applyFont="1" applyFill="1" applyBorder="1" applyAlignment="1" applyProtection="1">
      <alignment horizontal="right"/>
      <protection locked="0"/>
    </xf>
    <xf numFmtId="49" fontId="0" fillId="0" borderId="1" xfId="0" applyNumberFormat="1" applyBorder="1"/>
    <xf numFmtId="166" fontId="0" fillId="0" borderId="1" xfId="0" applyNumberFormat="1" applyBorder="1" applyAlignment="1">
      <alignment horizontal="center" vertical="center"/>
    </xf>
    <xf numFmtId="49" fontId="0" fillId="0" borderId="0" xfId="0" applyNumberFormat="1"/>
    <xf numFmtId="166" fontId="0" fillId="0" borderId="0" xfId="0" applyNumberFormat="1" applyAlignment="1">
      <alignment horizontal="center" vertical="center"/>
    </xf>
    <xf numFmtId="4" fontId="0" fillId="0" borderId="0" xfId="0" applyNumberFormat="1"/>
    <xf numFmtId="0" fontId="1" fillId="0" borderId="0" xfId="0" applyFont="1"/>
    <xf numFmtId="0" fontId="8" fillId="0" borderId="0" xfId="0" applyFont="1" applyAlignment="1">
      <alignment horizontal="left"/>
    </xf>
    <xf numFmtId="0" fontId="8" fillId="0" borderId="0" xfId="0" applyFont="1"/>
    <xf numFmtId="8" fontId="0" fillId="0" borderId="0" xfId="0" applyNumberFormat="1"/>
    <xf numFmtId="49" fontId="7" fillId="9" borderId="4" xfId="0" applyNumberFormat="1" applyFont="1" applyFill="1" applyBorder="1" applyAlignment="1" applyProtection="1">
      <alignment horizontal="left"/>
      <protection locked="0"/>
    </xf>
    <xf numFmtId="166" fontId="0" fillId="0" borderId="0" xfId="0" applyNumberFormat="1" applyAlignment="1">
      <alignment horizontal="center"/>
    </xf>
    <xf numFmtId="0" fontId="8" fillId="0" borderId="26" xfId="0" applyFont="1" applyBorder="1"/>
    <xf numFmtId="0" fontId="8" fillId="0" borderId="1" xfId="0" applyFont="1" applyBorder="1" applyAlignment="1">
      <alignment horizontal="left"/>
    </xf>
    <xf numFmtId="49" fontId="7" fillId="9" borderId="0" xfId="0" applyNumberFormat="1" applyFont="1" applyFill="1" applyAlignment="1" applyProtection="1">
      <alignment horizontal="left"/>
      <protection locked="0"/>
    </xf>
    <xf numFmtId="49" fontId="8" fillId="0" borderId="26" xfId="0" applyNumberFormat="1" applyFont="1" applyBorder="1"/>
    <xf numFmtId="49" fontId="7" fillId="9" borderId="0" xfId="0" applyNumberFormat="1" applyFont="1" applyFill="1" applyAlignment="1" applyProtection="1">
      <alignment horizontal="left" wrapText="1"/>
      <protection locked="0"/>
    </xf>
    <xf numFmtId="49" fontId="7" fillId="9" borderId="0" xfId="0" applyNumberFormat="1" applyFont="1" applyFill="1" applyAlignment="1" applyProtection="1">
      <alignment horizontal="center"/>
      <protection locked="0"/>
    </xf>
    <xf numFmtId="166" fontId="7" fillId="9" borderId="0" xfId="0" applyNumberFormat="1" applyFont="1" applyFill="1" applyAlignment="1" applyProtection="1">
      <alignment horizontal="center" vertical="center"/>
      <protection locked="0"/>
    </xf>
    <xf numFmtId="2" fontId="8" fillId="0" borderId="1" xfId="0" applyNumberFormat="1" applyFont="1" applyBorder="1"/>
    <xf numFmtId="2" fontId="8" fillId="0" borderId="26" xfId="0" applyNumberFormat="1" applyFont="1" applyBorder="1"/>
    <xf numFmtId="166" fontId="8" fillId="0" borderId="0" xfId="0" applyNumberFormat="1" applyFont="1" applyAlignment="1">
      <alignment horizontal="center"/>
    </xf>
    <xf numFmtId="0" fontId="8" fillId="0" borderId="0" xfId="0" applyFont="1" applyAlignment="1">
      <alignment horizontal="center"/>
    </xf>
    <xf numFmtId="166" fontId="8" fillId="0" borderId="1" xfId="0" applyNumberFormat="1" applyFont="1" applyBorder="1" applyAlignment="1">
      <alignment horizontal="center"/>
    </xf>
    <xf numFmtId="14" fontId="0" fillId="0" borderId="0" xfId="0" applyNumberFormat="1" applyAlignment="1">
      <alignment horizontal="center"/>
    </xf>
    <xf numFmtId="0" fontId="0" fillId="4" borderId="0" xfId="0" applyFill="1" applyAlignment="1">
      <alignment horizontal="center"/>
    </xf>
    <xf numFmtId="0" fontId="9" fillId="0" borderId="0" xfId="0" applyFont="1"/>
    <xf numFmtId="167" fontId="9" fillId="0" borderId="0" xfId="0" applyNumberFormat="1" applyFont="1"/>
    <xf numFmtId="49" fontId="7" fillId="10" borderId="0" xfId="0" applyNumberFormat="1" applyFont="1" applyFill="1" applyAlignment="1" applyProtection="1">
      <alignment horizontal="left"/>
      <protection locked="0"/>
    </xf>
    <xf numFmtId="49" fontId="7" fillId="9" borderId="0" xfId="0" applyNumberFormat="1" applyFont="1" applyFill="1" applyProtection="1">
      <protection locked="0"/>
    </xf>
    <xf numFmtId="49" fontId="7" fillId="9" borderId="1" xfId="0" applyNumberFormat="1" applyFont="1" applyFill="1" applyBorder="1" applyAlignment="1" applyProtection="1">
      <alignment vertical="center"/>
      <protection locked="0"/>
    </xf>
    <xf numFmtId="49" fontId="7" fillId="9" borderId="1" xfId="0" applyNumberFormat="1" applyFont="1" applyFill="1" applyBorder="1" applyAlignment="1" applyProtection="1">
      <alignment horizontal="left" vertical="center"/>
      <protection locked="0"/>
    </xf>
    <xf numFmtId="8" fontId="9" fillId="0" borderId="0" xfId="0" applyNumberFormat="1" applyFont="1"/>
    <xf numFmtId="167" fontId="0" fillId="0" borderId="0" xfId="0" applyNumberFormat="1"/>
    <xf numFmtId="166" fontId="8" fillId="2" borderId="1" xfId="0" applyNumberFormat="1" applyFont="1" applyFill="1" applyBorder="1" applyAlignment="1">
      <alignment horizontal="center" vertical="center"/>
    </xf>
    <xf numFmtId="166" fontId="7" fillId="10" borderId="1" xfId="0" applyNumberFormat="1" applyFont="1" applyFill="1" applyBorder="1" applyAlignment="1" applyProtection="1">
      <alignment horizontal="center" vertical="center"/>
      <protection locked="0"/>
    </xf>
    <xf numFmtId="166" fontId="8" fillId="2" borderId="1" xfId="0" applyNumberFormat="1" applyFont="1" applyFill="1" applyBorder="1" applyAlignment="1">
      <alignment horizontal="center"/>
    </xf>
    <xf numFmtId="164" fontId="0" fillId="3" borderId="1" xfId="0" applyNumberFormat="1" applyFill="1" applyBorder="1"/>
    <xf numFmtId="168" fontId="0" fillId="0" borderId="3" xfId="0" applyNumberFormat="1" applyBorder="1" applyAlignment="1">
      <alignment horizontal="left"/>
    </xf>
    <xf numFmtId="49" fontId="10" fillId="9" borderId="2" xfId="0" applyNumberFormat="1" applyFont="1" applyFill="1" applyBorder="1" applyAlignment="1" applyProtection="1">
      <alignment horizontal="left" vertical="top" wrapText="1"/>
      <protection locked="0"/>
    </xf>
    <xf numFmtId="0" fontId="11" fillId="0" borderId="3" xfId="0" applyFont="1" applyBorder="1"/>
    <xf numFmtId="169" fontId="0" fillId="0" borderId="0" xfId="0" applyNumberFormat="1"/>
    <xf numFmtId="169" fontId="9" fillId="0" borderId="0" xfId="0" applyNumberFormat="1" applyFont="1"/>
    <xf numFmtId="170" fontId="9" fillId="0" borderId="0" xfId="0" applyNumberFormat="1" applyFont="1"/>
    <xf numFmtId="14" fontId="0" fillId="11" borderId="0" xfId="0" applyNumberFormat="1" applyFill="1"/>
    <xf numFmtId="0" fontId="0" fillId="11" borderId="0" xfId="0" applyFill="1"/>
    <xf numFmtId="49" fontId="0" fillId="0" borderId="0" xfId="0" applyNumberFormat="1" applyAlignment="1">
      <alignment horizontal="center"/>
    </xf>
    <xf numFmtId="49" fontId="7" fillId="0" borderId="1" xfId="0" applyNumberFormat="1" applyFont="1" applyBorder="1" applyAlignment="1" applyProtection="1">
      <alignment horizontal="left"/>
      <protection locked="0"/>
    </xf>
    <xf numFmtId="49" fontId="7" fillId="0" borderId="1" xfId="0" applyNumberFormat="1" applyFont="1" applyBorder="1" applyProtection="1">
      <protection locked="0"/>
    </xf>
    <xf numFmtId="0" fontId="0" fillId="14" borderId="0" xfId="0" applyFill="1"/>
    <xf numFmtId="164" fontId="0" fillId="0" borderId="17" xfId="0" applyNumberFormat="1" applyBorder="1"/>
    <xf numFmtId="164" fontId="0" fillId="0" borderId="18" xfId="0" applyNumberFormat="1" applyBorder="1" applyAlignment="1">
      <alignment wrapText="1"/>
    </xf>
    <xf numFmtId="164" fontId="0" fillId="3" borderId="0" xfId="0" applyNumberFormat="1" applyFill="1" applyAlignment="1">
      <alignment wrapText="1"/>
    </xf>
    <xf numFmtId="164" fontId="0" fillId="3" borderId="10" xfId="0" applyNumberFormat="1" applyFill="1" applyBorder="1" applyAlignment="1">
      <alignment wrapText="1"/>
    </xf>
    <xf numFmtId="164" fontId="0" fillId="3" borderId="11" xfId="0" applyNumberFormat="1" applyFill="1" applyBorder="1" applyAlignment="1">
      <alignment wrapText="1"/>
    </xf>
    <xf numFmtId="164" fontId="0" fillId="3" borderId="12" xfId="0" applyNumberFormat="1" applyFill="1" applyBorder="1" applyAlignment="1">
      <alignment wrapText="1"/>
    </xf>
    <xf numFmtId="164" fontId="0" fillId="4" borderId="1" xfId="0" applyNumberFormat="1" applyFill="1" applyBorder="1"/>
    <xf numFmtId="164" fontId="0" fillId="12" borderId="1" xfId="0" applyNumberFormat="1" applyFill="1" applyBorder="1" applyAlignment="1">
      <alignment wrapText="1"/>
    </xf>
    <xf numFmtId="164" fontId="0" fillId="11" borderId="1" xfId="0" applyNumberFormat="1" applyFill="1" applyBorder="1" applyAlignment="1">
      <alignment horizontal="center" wrapText="1"/>
    </xf>
    <xf numFmtId="164" fontId="5" fillId="13" borderId="1" xfId="0" applyNumberFormat="1" applyFont="1" applyFill="1" applyBorder="1" applyAlignment="1">
      <alignment horizontal="center" wrapText="1"/>
    </xf>
    <xf numFmtId="164" fontId="5" fillId="15" borderId="1" xfId="0" applyNumberFormat="1" applyFont="1" applyFill="1"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20" xfId="0" applyBorder="1" applyAlignment="1">
      <alignment horizontal="center" vertical="center"/>
    </xf>
    <xf numFmtId="0" fontId="11" fillId="0" borderId="0" xfId="0" applyFont="1" applyAlignment="1">
      <alignment wrapText="1"/>
    </xf>
    <xf numFmtId="0" fontId="3" fillId="0" borderId="0" xfId="0" quotePrefix="1" applyFont="1"/>
    <xf numFmtId="0" fontId="3" fillId="0" borderId="0" xfId="0" applyFont="1" applyAlignment="1">
      <alignment horizontal="justify" vertical="top" wrapText="1"/>
    </xf>
    <xf numFmtId="0" fontId="1" fillId="0" borderId="0" xfId="0" applyFont="1" applyAlignment="1">
      <alignment horizontal="center" vertical="center"/>
    </xf>
    <xf numFmtId="0" fontId="2" fillId="0" borderId="0" xfId="1" applyFont="1"/>
    <xf numFmtId="0" fontId="3" fillId="0" borderId="0" xfId="1"/>
    <xf numFmtId="0" fontId="2" fillId="0" borderId="5" xfId="1" applyFont="1" applyBorder="1"/>
    <xf numFmtId="0" fontId="2" fillId="0" borderId="5" xfId="1" applyFont="1" applyBorder="1" applyAlignment="1">
      <alignment horizontal="center"/>
    </xf>
    <xf numFmtId="0" fontId="14" fillId="0" borderId="0" xfId="0" applyFont="1"/>
    <xf numFmtId="0" fontId="15" fillId="0" borderId="0" xfId="1" applyFont="1"/>
    <xf numFmtId="0" fontId="3" fillId="0" borderId="0" xfId="1" applyAlignment="1">
      <alignment horizontal="left" indent="2"/>
    </xf>
    <xf numFmtId="0" fontId="2" fillId="0" borderId="0" xfId="1" applyFont="1" applyAlignment="1">
      <alignment horizontal="center"/>
    </xf>
    <xf numFmtId="4" fontId="3" fillId="0" borderId="0" xfId="1" applyNumberFormat="1"/>
    <xf numFmtId="0" fontId="3" fillId="0" borderId="0" xfId="1" applyAlignment="1">
      <alignment wrapText="1"/>
    </xf>
    <xf numFmtId="172" fontId="0" fillId="0" borderId="0" xfId="0" applyNumberFormat="1"/>
    <xf numFmtId="0" fontId="3" fillId="0" borderId="0" xfId="1" applyAlignment="1">
      <alignment horizontal="left"/>
    </xf>
    <xf numFmtId="4" fontId="2" fillId="0" borderId="0" xfId="1" applyNumberFormat="1" applyFont="1" applyAlignment="1">
      <alignment horizontal="right"/>
    </xf>
    <xf numFmtId="0" fontId="16" fillId="0" borderId="0" xfId="0" applyFont="1"/>
    <xf numFmtId="15" fontId="16" fillId="0" borderId="0" xfId="0" quotePrefix="1" applyNumberFormat="1" applyFont="1" applyAlignment="1">
      <alignment horizontal="left"/>
    </xf>
    <xf numFmtId="0" fontId="17" fillId="0" borderId="0" xfId="0" applyFont="1"/>
    <xf numFmtId="0" fontId="17" fillId="0" borderId="5" xfId="0" applyFont="1" applyBorder="1"/>
    <xf numFmtId="165" fontId="3" fillId="0" borderId="0" xfId="0" applyNumberFormat="1" applyFont="1"/>
    <xf numFmtId="164" fontId="3" fillId="0" borderId="0" xfId="0" applyNumberFormat="1" applyFont="1"/>
    <xf numFmtId="173" fontId="3" fillId="0" borderId="0" xfId="0" applyNumberFormat="1" applyFont="1"/>
    <xf numFmtId="164" fontId="16" fillId="0" borderId="15" xfId="0" applyNumberFormat="1" applyFont="1" applyBorder="1"/>
    <xf numFmtId="0" fontId="17" fillId="0" borderId="0" xfId="0" applyFont="1" applyAlignment="1">
      <alignment horizontal="justify" vertical="top"/>
    </xf>
    <xf numFmtId="0" fontId="16" fillId="0" borderId="0" xfId="0" applyFont="1" applyAlignment="1">
      <alignment horizontal="justify" vertical="top"/>
    </xf>
    <xf numFmtId="0" fontId="3" fillId="0" borderId="0" xfId="1" applyAlignment="1">
      <alignment horizontal="right"/>
    </xf>
    <xf numFmtId="0" fontId="2" fillId="0" borderId="0" xfId="1" applyFont="1" applyAlignment="1">
      <alignment horizontal="right"/>
    </xf>
    <xf numFmtId="1" fontId="2" fillId="0" borderId="5" xfId="2" applyNumberFormat="1" applyFont="1" applyFill="1" applyBorder="1" applyAlignment="1">
      <alignment horizontal="right"/>
    </xf>
    <xf numFmtId="4" fontId="2" fillId="0" borderId="0" xfId="1" applyNumberFormat="1" applyFont="1"/>
    <xf numFmtId="165" fontId="2" fillId="0" borderId="0" xfId="1" applyNumberFormat="1" applyFont="1" applyAlignment="1">
      <alignment horizontal="right"/>
    </xf>
    <xf numFmtId="171" fontId="2" fillId="0" borderId="0" xfId="1" applyNumberFormat="1" applyFont="1" applyAlignment="1">
      <alignment horizontal="right"/>
    </xf>
    <xf numFmtId="4" fontId="1" fillId="0" borderId="0" xfId="0" applyNumberFormat="1" applyFont="1"/>
    <xf numFmtId="4" fontId="2" fillId="0" borderId="15" xfId="1" applyNumberFormat="1" applyFont="1" applyBorder="1"/>
    <xf numFmtId="4" fontId="2" fillId="0" borderId="15" xfId="1" applyNumberFormat="1" applyFont="1" applyBorder="1" applyAlignment="1">
      <alignment horizontal="right"/>
    </xf>
    <xf numFmtId="4" fontId="2" fillId="0" borderId="0" xfId="1" quotePrefix="1" applyNumberFormat="1" applyFont="1" applyAlignment="1">
      <alignment horizontal="right"/>
    </xf>
    <xf numFmtId="4" fontId="2" fillId="0" borderId="0" xfId="1" applyNumberFormat="1" applyFont="1" applyAlignment="1">
      <alignment horizontal="center"/>
    </xf>
    <xf numFmtId="2" fontId="2" fillId="0" borderId="0" xfId="1" applyNumberFormat="1" applyFont="1"/>
    <xf numFmtId="164" fontId="2" fillId="0" borderId="5" xfId="1" applyNumberFormat="1" applyFont="1" applyBorder="1"/>
    <xf numFmtId="164" fontId="2" fillId="0" borderId="5" xfId="1" applyNumberFormat="1" applyFont="1" applyBorder="1" applyAlignment="1">
      <alignment horizontal="right"/>
    </xf>
    <xf numFmtId="14" fontId="0" fillId="2" borderId="1" xfId="0" applyNumberFormat="1" applyFill="1" applyBorder="1" applyAlignment="1">
      <alignment horizontal="left"/>
    </xf>
    <xf numFmtId="14" fontId="0" fillId="0" borderId="0" xfId="0" applyNumberFormat="1" applyAlignment="1">
      <alignment horizontal="left"/>
    </xf>
    <xf numFmtId="14" fontId="0" fillId="0" borderId="3" xfId="0" applyNumberFormat="1" applyBorder="1"/>
    <xf numFmtId="14" fontId="0" fillId="0" borderId="1" xfId="0" applyNumberFormat="1" applyBorder="1" applyAlignment="1">
      <alignment horizontal="left"/>
    </xf>
    <xf numFmtId="0" fontId="0" fillId="0" borderId="3" xfId="0" applyBorder="1" applyAlignment="1">
      <alignment wrapText="1"/>
    </xf>
    <xf numFmtId="0" fontId="0" fillId="0" borderId="1" xfId="0" applyBorder="1" applyAlignment="1">
      <alignment horizontal="center"/>
    </xf>
    <xf numFmtId="164" fontId="1" fillId="0" borderId="14" xfId="0" applyNumberFormat="1" applyFont="1" applyBorder="1"/>
    <xf numFmtId="0" fontId="18" fillId="0" borderId="0" xfId="0" applyFont="1"/>
    <xf numFmtId="4" fontId="16" fillId="0" borderId="0" xfId="0" applyNumberFormat="1" applyFont="1"/>
    <xf numFmtId="4" fontId="17" fillId="0" borderId="0" xfId="0" applyNumberFormat="1" applyFont="1"/>
    <xf numFmtId="15" fontId="16" fillId="0" borderId="0" xfId="0" applyNumberFormat="1" applyFont="1" applyAlignment="1">
      <alignment horizontal="right"/>
    </xf>
    <xf numFmtId="0" fontId="16" fillId="0" borderId="0" xfId="0" applyFont="1" applyAlignment="1">
      <alignment horizontal="right"/>
    </xf>
    <xf numFmtId="0" fontId="16" fillId="0" borderId="5" xfId="0" applyFont="1" applyBorder="1" applyAlignment="1">
      <alignment horizontal="right"/>
    </xf>
    <xf numFmtId="1" fontId="17" fillId="0" borderId="5" xfId="3" applyNumberFormat="1" applyFont="1" applyFill="1" applyBorder="1" applyAlignment="1">
      <alignment horizontal="right"/>
    </xf>
    <xf numFmtId="0" fontId="17" fillId="0" borderId="0" xfId="0" applyFont="1" applyAlignment="1">
      <alignment horizontal="right"/>
    </xf>
    <xf numFmtId="164" fontId="17" fillId="0" borderId="0" xfId="0" applyNumberFormat="1" applyFont="1"/>
    <xf numFmtId="164" fontId="16" fillId="0" borderId="0" xfId="0" applyNumberFormat="1" applyFont="1"/>
    <xf numFmtId="164" fontId="17" fillId="0" borderId="15" xfId="0" applyNumberFormat="1" applyFont="1" applyBorder="1"/>
    <xf numFmtId="4" fontId="17" fillId="0" borderId="27" xfId="0" applyNumberFormat="1" applyFont="1" applyBorder="1"/>
    <xf numFmtId="4" fontId="18" fillId="0" borderId="0" xfId="0" applyNumberFormat="1" applyFont="1"/>
    <xf numFmtId="4" fontId="2" fillId="0" borderId="0" xfId="0" applyNumberFormat="1" applyFont="1"/>
    <xf numFmtId="4" fontId="3" fillId="0" borderId="0" xfId="0" applyNumberFormat="1" applyFont="1"/>
    <xf numFmtId="0" fontId="17" fillId="0" borderId="0" xfId="0" applyFont="1" applyAlignment="1">
      <alignment horizontal="center"/>
    </xf>
    <xf numFmtId="0" fontId="16" fillId="0" borderId="0" xfId="0" applyFont="1" applyAlignment="1">
      <alignment horizontal="center"/>
    </xf>
    <xf numFmtId="0" fontId="3" fillId="0" borderId="0" xfId="4"/>
    <xf numFmtId="0" fontId="2" fillId="0" borderId="0" xfId="4" applyFont="1"/>
    <xf numFmtId="0" fontId="2" fillId="0" borderId="0" xfId="4" applyFont="1" applyAlignment="1">
      <alignment vertical="center"/>
    </xf>
    <xf numFmtId="0" fontId="19" fillId="0" borderId="0" xfId="0" applyFont="1"/>
    <xf numFmtId="0" fontId="20" fillId="0" borderId="0" xfId="4" applyFont="1"/>
    <xf numFmtId="0" fontId="21" fillId="0" borderId="0" xfId="4" applyFont="1"/>
    <xf numFmtId="0" fontId="20" fillId="0" borderId="0" xfId="4" applyFont="1" applyAlignment="1">
      <alignment horizontal="justify" vertical="top" wrapText="1"/>
    </xf>
    <xf numFmtId="0" fontId="20" fillId="0" borderId="0" xfId="4" applyFont="1" applyAlignment="1">
      <alignment vertical="top"/>
    </xf>
    <xf numFmtId="164" fontId="3" fillId="0" borderId="0" xfId="0" applyNumberFormat="1" applyFont="1" applyAlignment="1">
      <alignment horizontal="center" wrapText="1"/>
    </xf>
    <xf numFmtId="164" fontId="0" fillId="0" borderId="0" xfId="0" applyNumberFormat="1" applyAlignment="1">
      <alignment horizontal="center" wrapText="1"/>
    </xf>
    <xf numFmtId="164" fontId="0" fillId="0" borderId="0" xfId="0" applyNumberFormat="1" applyAlignment="1">
      <alignment horizontal="center"/>
    </xf>
    <xf numFmtId="164" fontId="0" fillId="0" borderId="10" xfId="0" applyNumberFormat="1" applyBorder="1" applyAlignment="1">
      <alignment horizontal="center" wrapText="1"/>
    </xf>
    <xf numFmtId="164" fontId="0" fillId="0" borderId="11" xfId="0" applyNumberFormat="1" applyBorder="1" applyAlignment="1">
      <alignment horizontal="center" wrapText="1"/>
    </xf>
    <xf numFmtId="164" fontId="0" fillId="0" borderId="12" xfId="0" applyNumberFormat="1" applyBorder="1" applyAlignment="1">
      <alignment horizontal="center" wrapText="1"/>
    </xf>
    <xf numFmtId="164" fontId="0" fillId="0" borderId="11" xfId="0" applyNumberFormat="1" applyBorder="1" applyAlignment="1">
      <alignment horizontal="center"/>
    </xf>
    <xf numFmtId="164" fontId="0" fillId="0" borderId="12" xfId="0" applyNumberFormat="1" applyBorder="1" applyAlignment="1">
      <alignment horizontal="center"/>
    </xf>
    <xf numFmtId="164" fontId="0" fillId="0" borderId="6" xfId="0" applyNumberFormat="1" applyBorder="1" applyAlignment="1">
      <alignment horizontal="center"/>
    </xf>
    <xf numFmtId="164" fontId="0" fillId="0" borderId="7" xfId="0" applyNumberFormat="1" applyBorder="1" applyAlignment="1">
      <alignment horizontal="center"/>
    </xf>
    <xf numFmtId="164" fontId="0" fillId="0" borderId="8" xfId="0" applyNumberFormat="1" applyBorder="1" applyAlignment="1">
      <alignment horizontal="center"/>
    </xf>
    <xf numFmtId="164" fontId="0" fillId="0" borderId="9" xfId="0" applyNumberFormat="1" applyBorder="1" applyAlignment="1">
      <alignment horizontal="center"/>
    </xf>
    <xf numFmtId="164" fontId="0" fillId="0" borderId="10" xfId="0" applyNumberFormat="1" applyBorder="1" applyAlignment="1">
      <alignment horizontal="center"/>
    </xf>
    <xf numFmtId="0" fontId="17" fillId="0" borderId="0" xfId="4" applyFont="1" applyAlignment="1">
      <alignment horizontal="left" vertical="center" wrapText="1"/>
    </xf>
    <xf numFmtId="0" fontId="20" fillId="0" borderId="0" xfId="4" applyFont="1" applyAlignment="1">
      <alignment horizontal="justify" vertical="top" wrapText="1"/>
    </xf>
    <xf numFmtId="0" fontId="3" fillId="0" borderId="0" xfId="4" applyAlignment="1">
      <alignment horizontal="justify" vertical="top" wrapText="1"/>
    </xf>
    <xf numFmtId="0" fontId="2" fillId="0" borderId="0" xfId="4" applyFont="1" applyAlignment="1">
      <alignment horizontal="center"/>
    </xf>
    <xf numFmtId="0" fontId="17" fillId="0" borderId="0" xfId="4" applyFont="1" applyAlignment="1">
      <alignment horizontal="justify" vertical="top" wrapText="1"/>
    </xf>
    <xf numFmtId="0" fontId="17" fillId="0" borderId="0" xfId="4" applyFont="1" applyAlignment="1">
      <alignment horizontal="justify" vertical="center" wrapText="1"/>
    </xf>
    <xf numFmtId="0" fontId="18" fillId="0" borderId="0" xfId="0" applyFont="1" applyAlignment="1">
      <alignment horizontal="justify" vertical="center" wrapText="1"/>
    </xf>
    <xf numFmtId="0" fontId="20" fillId="0" borderId="0" xfId="4" applyFont="1" applyAlignment="1">
      <alignment horizontal="justify" vertical="top"/>
    </xf>
    <xf numFmtId="0" fontId="19" fillId="0" borderId="0" xfId="0" applyFont="1"/>
    <xf numFmtId="0" fontId="2" fillId="0" borderId="0" xfId="0" applyFont="1" applyAlignment="1">
      <alignment horizontal="justify" vertical="top" wrapText="1"/>
    </xf>
    <xf numFmtId="0" fontId="0" fillId="0" borderId="0" xfId="0" applyAlignment="1">
      <alignment horizontal="justify" vertical="top" wrapText="1"/>
    </xf>
    <xf numFmtId="0" fontId="3" fillId="0" borderId="0" xfId="0" applyFont="1" applyAlignment="1">
      <alignment horizontal="justify" vertical="top" wrapText="1"/>
    </xf>
    <xf numFmtId="0" fontId="0" fillId="0" borderId="0" xfId="0"/>
    <xf numFmtId="14" fontId="12" fillId="0" borderId="0" xfId="0" applyNumberFormat="1" applyFont="1" applyAlignment="1">
      <alignment horizontal="justify" vertical="top" wrapText="1"/>
    </xf>
    <xf numFmtId="0" fontId="12" fillId="0" borderId="0" xfId="0" applyFont="1" applyAlignment="1">
      <alignment horizontal="justify" vertical="top" wrapText="1"/>
    </xf>
    <xf numFmtId="169" fontId="13" fillId="0" borderId="0" xfId="0" applyNumberFormat="1" applyFont="1" applyAlignment="1">
      <alignment horizontal="justify" vertical="top" wrapText="1"/>
    </xf>
    <xf numFmtId="169" fontId="12" fillId="0" borderId="0" xfId="0" applyNumberFormat="1" applyFont="1" applyAlignment="1">
      <alignment horizontal="justify" vertical="top" wrapText="1"/>
    </xf>
    <xf numFmtId="0" fontId="2" fillId="0" borderId="0" xfId="0" applyFont="1" applyAlignment="1">
      <alignment horizontal="center"/>
    </xf>
    <xf numFmtId="0" fontId="17" fillId="0" borderId="0" xfId="0" applyFont="1" applyAlignment="1">
      <alignment horizontal="justify" vertical="top" wrapText="1"/>
    </xf>
    <xf numFmtId="0" fontId="18" fillId="0" borderId="0" xfId="0" applyFont="1" applyAlignment="1">
      <alignment wrapText="1"/>
    </xf>
    <xf numFmtId="0" fontId="17" fillId="0" borderId="0" xfId="0" applyFont="1" applyAlignment="1">
      <alignment horizontal="justify" vertical="top"/>
    </xf>
    <xf numFmtId="0" fontId="18" fillId="0" borderId="0" xfId="0" applyFont="1" applyAlignment="1">
      <alignment horizontal="justify" vertical="top"/>
    </xf>
    <xf numFmtId="0" fontId="18" fillId="0" borderId="0" xfId="0" applyFont="1"/>
    <xf numFmtId="49" fontId="10" fillId="9" borderId="2" xfId="0" applyNumberFormat="1" applyFont="1" applyFill="1" applyBorder="1" applyAlignment="1" applyProtection="1">
      <alignment horizontal="left" vertical="top" wrapText="1"/>
      <protection locked="0"/>
    </xf>
    <xf numFmtId="0" fontId="11" fillId="0" borderId="3" xfId="0" applyFont="1" applyBorder="1"/>
  </cellXfs>
  <cellStyles count="6">
    <cellStyle name="Comma 2" xfId="3" xr:uid="{00000000-0005-0000-0000-000000000000}"/>
    <cellStyle name="Comma 3" xfId="2" xr:uid="{00000000-0005-0000-0000-000001000000}"/>
    <cellStyle name="Comma 4" xfId="5" xr:uid="{00000000-0005-0000-0000-000002000000}"/>
    <cellStyle name="Normal" xfId="0" builtinId="0"/>
    <cellStyle name="Normal 2" xfId="4" xr:uid="{00000000-0005-0000-0000-000004000000}"/>
    <cellStyle name="Normal 3" xfId="1" xr:uid="{00000000-0005-0000-0000-000005000000}"/>
  </cellStyles>
  <dxfs count="1">
    <dxf>
      <fill>
        <patternFill patternType="solid">
          <fgColor rgb="FFFFFFFF"/>
          <bgColor rgb="FF000000"/>
        </patternFill>
      </fill>
    </dxf>
  </dxfs>
  <tableStyles count="0" defaultTableStyle="TableStyleMedium2" defaultPivotStyle="PivotStyleLight16"/>
  <colors>
    <mruColors>
      <color rgb="FFD8BFEB"/>
      <color rgb="FFFF66FF"/>
      <color rgb="FFAA72D4"/>
      <color rgb="FFFBE6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P99"/>
  <sheetViews>
    <sheetView topLeftCell="A55" workbookViewId="0">
      <selection activeCell="K85" sqref="K85"/>
    </sheetView>
  </sheetViews>
  <sheetFormatPr defaultRowHeight="14.25" x14ac:dyDescent="0.45"/>
  <cols>
    <col min="1" max="1" width="10.53125" bestFit="1" customWidth="1"/>
    <col min="3" max="3" width="18.1328125" customWidth="1"/>
    <col min="4" max="4" width="20.33203125" customWidth="1"/>
    <col min="5" max="5" width="26.33203125" bestFit="1" customWidth="1"/>
    <col min="6" max="6" width="11" bestFit="1" customWidth="1"/>
    <col min="9" max="9" width="11" bestFit="1" customWidth="1"/>
    <col min="10" max="10" width="9" bestFit="1" customWidth="1"/>
    <col min="13" max="13" width="10.53125" bestFit="1" customWidth="1"/>
    <col min="15" max="15" width="10.53125" bestFit="1" customWidth="1"/>
  </cols>
  <sheetData>
    <row r="1" spans="1:16" x14ac:dyDescent="0.45">
      <c r="A1" s="96">
        <v>2</v>
      </c>
      <c r="B1" s="97" t="s">
        <v>298</v>
      </c>
      <c r="C1" s="98" t="s">
        <v>321</v>
      </c>
      <c r="D1" s="159" t="s">
        <v>1</v>
      </c>
      <c r="E1" s="97" t="s">
        <v>322</v>
      </c>
      <c r="F1" s="97" t="s">
        <v>2</v>
      </c>
      <c r="G1" s="99"/>
      <c r="H1" s="100"/>
      <c r="I1" s="101">
        <v>44118</v>
      </c>
      <c r="J1" s="102">
        <v>35</v>
      </c>
    </row>
    <row r="2" spans="1:16" x14ac:dyDescent="0.45">
      <c r="A2" s="96">
        <v>4</v>
      </c>
      <c r="B2" s="97" t="s">
        <v>219</v>
      </c>
      <c r="C2" s="98" t="s">
        <v>383</v>
      </c>
      <c r="D2" s="159" t="s">
        <v>3</v>
      </c>
      <c r="E2" s="97" t="s">
        <v>372</v>
      </c>
      <c r="F2" s="97" t="s">
        <v>4</v>
      </c>
      <c r="G2" s="99"/>
      <c r="H2" s="100"/>
      <c r="I2" s="101">
        <v>44172</v>
      </c>
      <c r="J2" s="102">
        <v>35</v>
      </c>
    </row>
    <row r="3" spans="1:16" x14ac:dyDescent="0.45">
      <c r="A3" s="96">
        <v>94</v>
      </c>
      <c r="B3" s="97" t="s">
        <v>203</v>
      </c>
      <c r="C3" s="98" t="s">
        <v>662</v>
      </c>
      <c r="D3" s="159" t="s">
        <v>663</v>
      </c>
      <c r="E3" s="97" t="s">
        <v>441</v>
      </c>
      <c r="F3" s="97" t="s">
        <v>34</v>
      </c>
      <c r="G3" s="99"/>
      <c r="H3" s="100"/>
      <c r="I3" s="101">
        <v>44267</v>
      </c>
      <c r="J3" s="102">
        <v>67.5</v>
      </c>
    </row>
    <row r="4" spans="1:16" x14ac:dyDescent="0.45">
      <c r="A4" s="96">
        <v>6</v>
      </c>
      <c r="B4" s="97" t="s">
        <v>203</v>
      </c>
      <c r="C4" s="98" t="s">
        <v>479</v>
      </c>
      <c r="D4" s="159" t="s">
        <v>650</v>
      </c>
      <c r="E4" s="125">
        <v>6</v>
      </c>
      <c r="F4" s="107" t="s">
        <v>66</v>
      </c>
      <c r="G4" s="99"/>
      <c r="H4" s="100"/>
      <c r="I4" s="101">
        <v>44267</v>
      </c>
      <c r="J4" s="102">
        <v>105</v>
      </c>
    </row>
    <row r="5" spans="1:16" x14ac:dyDescent="0.45">
      <c r="A5" s="96">
        <v>8</v>
      </c>
      <c r="B5" s="97" t="s">
        <v>222</v>
      </c>
      <c r="C5" s="98" t="s">
        <v>275</v>
      </c>
      <c r="D5" s="159" t="s">
        <v>442</v>
      </c>
      <c r="E5" s="97" t="s">
        <v>396</v>
      </c>
      <c r="F5" s="97" t="s">
        <v>68</v>
      </c>
      <c r="G5" s="99"/>
      <c r="H5" s="100"/>
      <c r="I5" s="101">
        <v>44111</v>
      </c>
      <c r="J5" s="102">
        <v>35</v>
      </c>
    </row>
    <row r="6" spans="1:16" x14ac:dyDescent="0.45">
      <c r="A6" s="96">
        <v>9</v>
      </c>
      <c r="B6" s="97" t="s">
        <v>200</v>
      </c>
      <c r="C6" s="98" t="s">
        <v>201</v>
      </c>
      <c r="D6" s="159" t="s">
        <v>5</v>
      </c>
      <c r="E6" s="97" t="s">
        <v>202</v>
      </c>
      <c r="F6" s="97" t="s">
        <v>6</v>
      </c>
      <c r="G6" s="99"/>
      <c r="H6" s="100"/>
      <c r="I6" s="101">
        <v>44169</v>
      </c>
      <c r="J6" s="102">
        <v>35</v>
      </c>
    </row>
    <row r="7" spans="1:16" x14ac:dyDescent="0.45">
      <c r="A7" s="96">
        <v>98</v>
      </c>
      <c r="B7" s="97" t="s">
        <v>203</v>
      </c>
      <c r="C7" s="98" t="s">
        <v>670</v>
      </c>
      <c r="D7" s="159" t="s">
        <v>543</v>
      </c>
      <c r="E7" s="97" t="s">
        <v>671</v>
      </c>
      <c r="F7" s="97" t="s">
        <v>64</v>
      </c>
      <c r="G7" s="99"/>
      <c r="H7" s="100"/>
      <c r="I7" s="101">
        <v>44221</v>
      </c>
      <c r="J7" s="102">
        <v>51</v>
      </c>
    </row>
    <row r="8" spans="1:16" x14ac:dyDescent="0.45">
      <c r="A8" s="96">
        <v>10</v>
      </c>
      <c r="B8" s="97" t="s">
        <v>222</v>
      </c>
      <c r="C8" s="98" t="s">
        <v>418</v>
      </c>
      <c r="D8" s="159" t="s">
        <v>419</v>
      </c>
      <c r="E8" s="97" t="s">
        <v>56</v>
      </c>
      <c r="F8" s="97" t="s">
        <v>57</v>
      </c>
      <c r="G8" s="99"/>
      <c r="H8" s="100"/>
      <c r="I8" s="101">
        <v>44218</v>
      </c>
      <c r="J8" s="102">
        <v>70</v>
      </c>
    </row>
    <row r="9" spans="1:16" x14ac:dyDescent="0.45">
      <c r="A9" s="96">
        <v>15</v>
      </c>
      <c r="B9" s="97" t="s">
        <v>200</v>
      </c>
      <c r="C9" s="98" t="s">
        <v>213</v>
      </c>
      <c r="D9" s="159" t="s">
        <v>17</v>
      </c>
      <c r="E9" s="97" t="s">
        <v>544</v>
      </c>
      <c r="F9" s="97" t="s">
        <v>360</v>
      </c>
      <c r="G9" s="99"/>
      <c r="H9" s="100"/>
      <c r="I9" s="147">
        <v>44111</v>
      </c>
      <c r="J9" s="102">
        <v>35</v>
      </c>
    </row>
    <row r="10" spans="1:16" x14ac:dyDescent="0.45">
      <c r="A10" s="96">
        <v>11</v>
      </c>
      <c r="B10" s="98" t="s">
        <v>219</v>
      </c>
      <c r="C10" s="98" t="s">
        <v>668</v>
      </c>
      <c r="D10" s="160" t="s">
        <v>294</v>
      </c>
      <c r="E10" s="98" t="s">
        <v>295</v>
      </c>
      <c r="F10" s="98" t="s">
        <v>8</v>
      </c>
      <c r="G10" s="99"/>
      <c r="H10" s="100"/>
      <c r="I10" s="101">
        <v>44274</v>
      </c>
      <c r="J10" s="102">
        <v>105</v>
      </c>
    </row>
    <row r="11" spans="1:16" x14ac:dyDescent="0.45">
      <c r="A11" s="96">
        <v>12</v>
      </c>
      <c r="B11" s="97" t="s">
        <v>219</v>
      </c>
      <c r="C11" s="98" t="s">
        <v>484</v>
      </c>
      <c r="D11" s="159" t="s">
        <v>69</v>
      </c>
      <c r="E11" s="125">
        <v>33</v>
      </c>
      <c r="F11" s="97" t="s">
        <v>70</v>
      </c>
      <c r="G11" s="99"/>
      <c r="H11" s="100"/>
      <c r="I11" s="101">
        <v>44119</v>
      </c>
      <c r="J11" s="102">
        <v>35</v>
      </c>
    </row>
    <row r="12" spans="1:16" x14ac:dyDescent="0.45">
      <c r="A12" s="96">
        <v>14</v>
      </c>
      <c r="B12" s="97" t="s">
        <v>219</v>
      </c>
      <c r="C12" s="98" t="s">
        <v>105</v>
      </c>
      <c r="D12" s="159" t="s">
        <v>90</v>
      </c>
      <c r="E12" s="97" t="s">
        <v>557</v>
      </c>
      <c r="F12" s="97" t="s">
        <v>558</v>
      </c>
      <c r="G12" s="99"/>
      <c r="H12" s="100"/>
      <c r="I12" s="101">
        <v>44270</v>
      </c>
      <c r="J12" s="102">
        <v>67.5</v>
      </c>
    </row>
    <row r="13" spans="1:16" x14ac:dyDescent="0.45">
      <c r="A13" s="96">
        <v>19</v>
      </c>
      <c r="B13" s="97" t="s">
        <v>219</v>
      </c>
      <c r="C13" s="98" t="s">
        <v>602</v>
      </c>
      <c r="D13" s="159" t="s">
        <v>601</v>
      </c>
      <c r="E13" s="97" t="s">
        <v>211</v>
      </c>
      <c r="F13" s="97" t="s">
        <v>230</v>
      </c>
      <c r="G13" s="107"/>
      <c r="H13" s="107"/>
      <c r="I13" s="148">
        <v>44270</v>
      </c>
      <c r="J13" s="102">
        <v>70</v>
      </c>
    </row>
    <row r="14" spans="1:16" s="120" customFormat="1" x14ac:dyDescent="0.45">
      <c r="A14" s="96">
        <v>16</v>
      </c>
      <c r="B14" s="124" t="s">
        <v>203</v>
      </c>
      <c r="C14" s="124" t="s">
        <v>472</v>
      </c>
      <c r="D14" s="124" t="s">
        <v>91</v>
      </c>
      <c r="E14" s="119">
        <v>48</v>
      </c>
      <c r="F14" s="124" t="s">
        <v>6</v>
      </c>
      <c r="G14" s="128"/>
      <c r="H14" s="129"/>
      <c r="I14" s="130">
        <v>44130</v>
      </c>
      <c r="J14" s="102">
        <v>35</v>
      </c>
      <c r="K14"/>
      <c r="L14"/>
      <c r="M14"/>
      <c r="N14"/>
      <c r="O14"/>
      <c r="P14"/>
    </row>
    <row r="15" spans="1:16" x14ac:dyDescent="0.45">
      <c r="A15" s="96">
        <v>97</v>
      </c>
      <c r="B15" s="97" t="s">
        <v>262</v>
      </c>
      <c r="C15" s="98" t="s">
        <v>335</v>
      </c>
      <c r="D15" s="159" t="s">
        <v>9</v>
      </c>
      <c r="E15" s="97" t="s">
        <v>667</v>
      </c>
      <c r="F15" s="97" t="s">
        <v>558</v>
      </c>
      <c r="G15" s="99"/>
      <c r="H15" s="100"/>
      <c r="I15" s="101">
        <v>44120</v>
      </c>
      <c r="J15" s="102">
        <v>35</v>
      </c>
    </row>
    <row r="16" spans="1:16" x14ac:dyDescent="0.45">
      <c r="A16" s="96">
        <v>17</v>
      </c>
      <c r="B16" s="97" t="s">
        <v>298</v>
      </c>
      <c r="C16" s="98" t="s">
        <v>420</v>
      </c>
      <c r="D16" s="159" t="s">
        <v>10</v>
      </c>
      <c r="E16" s="97" t="s">
        <v>421</v>
      </c>
      <c r="F16" s="97" t="s">
        <v>11</v>
      </c>
      <c r="G16" s="99"/>
      <c r="H16" s="100"/>
      <c r="I16" s="101">
        <v>44118</v>
      </c>
      <c r="J16" s="102">
        <v>35</v>
      </c>
    </row>
    <row r="17" spans="1:16" x14ac:dyDescent="0.45">
      <c r="A17" s="96">
        <v>83</v>
      </c>
      <c r="B17" s="97"/>
      <c r="C17" s="98" t="s">
        <v>658</v>
      </c>
      <c r="D17" s="159" t="s">
        <v>94</v>
      </c>
      <c r="E17" s="97" t="s">
        <v>469</v>
      </c>
      <c r="F17" s="97" t="s">
        <v>6</v>
      </c>
      <c r="G17" s="99"/>
      <c r="H17" s="100"/>
      <c r="I17" s="101">
        <v>44267</v>
      </c>
      <c r="J17" s="102">
        <v>67.5</v>
      </c>
    </row>
    <row r="18" spans="1:16" x14ac:dyDescent="0.45">
      <c r="A18" s="96">
        <v>20</v>
      </c>
      <c r="B18" s="97" t="s">
        <v>200</v>
      </c>
      <c r="C18" s="98" t="s">
        <v>443</v>
      </c>
      <c r="D18" s="159" t="s">
        <v>71</v>
      </c>
      <c r="E18" s="97" t="s">
        <v>444</v>
      </c>
      <c r="F18" s="97" t="s">
        <v>72</v>
      </c>
      <c r="G18" s="99"/>
      <c r="H18" s="100"/>
      <c r="I18" s="101">
        <v>44119</v>
      </c>
      <c r="J18" s="102">
        <v>70</v>
      </c>
    </row>
    <row r="19" spans="1:16" x14ac:dyDescent="0.45">
      <c r="A19" s="96">
        <v>21</v>
      </c>
      <c r="B19" s="97" t="s">
        <v>222</v>
      </c>
      <c r="C19" s="98" t="s">
        <v>323</v>
      </c>
      <c r="D19" s="159" t="s">
        <v>324</v>
      </c>
      <c r="E19" s="97" t="s">
        <v>253</v>
      </c>
      <c r="F19" s="97" t="s">
        <v>32</v>
      </c>
      <c r="G19" s="99"/>
      <c r="H19" s="100"/>
      <c r="I19" s="101">
        <v>44130</v>
      </c>
      <c r="J19" s="102">
        <v>35</v>
      </c>
      <c r="K19" s="120"/>
      <c r="L19" s="120"/>
      <c r="M19" s="120"/>
      <c r="N19" s="120"/>
      <c r="O19" s="120"/>
      <c r="P19" s="120"/>
    </row>
    <row r="20" spans="1:16" x14ac:dyDescent="0.45">
      <c r="A20" s="96">
        <v>22</v>
      </c>
      <c r="B20" s="98" t="s">
        <v>219</v>
      </c>
      <c r="C20" s="98" t="s">
        <v>28</v>
      </c>
      <c r="D20" s="160" t="s">
        <v>13</v>
      </c>
      <c r="E20" s="98" t="s">
        <v>14</v>
      </c>
      <c r="F20" s="98" t="s">
        <v>15</v>
      </c>
      <c r="G20" s="99"/>
      <c r="H20" s="100"/>
      <c r="I20" s="101">
        <v>44124</v>
      </c>
      <c r="J20" s="102">
        <f>35+35</f>
        <v>70</v>
      </c>
    </row>
    <row r="21" spans="1:16" x14ac:dyDescent="0.45">
      <c r="A21" s="96">
        <v>23</v>
      </c>
      <c r="B21" s="98" t="s">
        <v>298</v>
      </c>
      <c r="C21" s="98" t="s">
        <v>377</v>
      </c>
      <c r="D21" s="160" t="s">
        <v>73</v>
      </c>
      <c r="E21" s="98" t="s">
        <v>533</v>
      </c>
      <c r="F21" s="98" t="s">
        <v>74</v>
      </c>
      <c r="G21" s="99"/>
      <c r="H21" s="100"/>
      <c r="I21" s="101">
        <v>44119</v>
      </c>
      <c r="J21" s="102">
        <v>35</v>
      </c>
    </row>
    <row r="22" spans="1:16" x14ac:dyDescent="0.45">
      <c r="A22" s="96">
        <v>25</v>
      </c>
      <c r="B22" s="97" t="s">
        <v>222</v>
      </c>
      <c r="C22" s="98" t="s">
        <v>333</v>
      </c>
      <c r="D22" s="159" t="s">
        <v>75</v>
      </c>
      <c r="E22" s="97" t="s">
        <v>334</v>
      </c>
      <c r="F22" s="97" t="s">
        <v>76</v>
      </c>
      <c r="G22" s="99"/>
      <c r="H22" s="100"/>
      <c r="I22" s="101">
        <v>44270</v>
      </c>
      <c r="J22" s="102">
        <v>105</v>
      </c>
    </row>
    <row r="23" spans="1:16" x14ac:dyDescent="0.45">
      <c r="A23" s="96">
        <v>27</v>
      </c>
      <c r="B23" s="97" t="s">
        <v>222</v>
      </c>
      <c r="C23" s="98" t="s">
        <v>296</v>
      </c>
      <c r="D23" s="159" t="s">
        <v>16</v>
      </c>
      <c r="E23" s="97" t="s">
        <v>297</v>
      </c>
      <c r="F23" s="97" t="s">
        <v>18</v>
      </c>
      <c r="G23" s="99"/>
      <c r="H23" s="100"/>
      <c r="I23" s="101">
        <v>44117</v>
      </c>
      <c r="J23" s="102">
        <v>35</v>
      </c>
    </row>
    <row r="24" spans="1:16" x14ac:dyDescent="0.45">
      <c r="A24" s="96">
        <v>29</v>
      </c>
      <c r="B24" s="97" t="s">
        <v>203</v>
      </c>
      <c r="C24" s="98" t="s">
        <v>509</v>
      </c>
      <c r="D24" s="159" t="s">
        <v>95</v>
      </c>
      <c r="E24" s="97" t="s">
        <v>510</v>
      </c>
      <c r="F24" s="97" t="s">
        <v>511</v>
      </c>
      <c r="G24" s="99"/>
      <c r="H24" s="100"/>
      <c r="I24" s="101">
        <v>44117</v>
      </c>
      <c r="J24" s="102">
        <f>35+35</f>
        <v>70</v>
      </c>
    </row>
    <row r="25" spans="1:16" x14ac:dyDescent="0.45">
      <c r="A25" s="96">
        <v>26</v>
      </c>
      <c r="B25" s="97" t="s">
        <v>203</v>
      </c>
      <c r="C25" s="98" t="s">
        <v>581</v>
      </c>
      <c r="D25" s="159" t="s">
        <v>19</v>
      </c>
      <c r="E25" s="97" t="s">
        <v>441</v>
      </c>
      <c r="F25" s="97" t="s">
        <v>582</v>
      </c>
      <c r="G25" s="99"/>
      <c r="H25" s="100"/>
      <c r="I25" s="147">
        <v>44162</v>
      </c>
      <c r="J25" s="102">
        <v>70</v>
      </c>
    </row>
    <row r="26" spans="1:16" x14ac:dyDescent="0.45">
      <c r="A26" s="96">
        <v>31</v>
      </c>
      <c r="B26" s="98" t="s">
        <v>222</v>
      </c>
      <c r="C26" s="98" t="s">
        <v>201</v>
      </c>
      <c r="D26" s="160" t="s">
        <v>502</v>
      </c>
      <c r="E26" s="98" t="s">
        <v>503</v>
      </c>
      <c r="F26" s="105" t="s">
        <v>329</v>
      </c>
      <c r="G26" s="99"/>
      <c r="H26" s="100"/>
      <c r="I26" s="101">
        <v>44111</v>
      </c>
      <c r="J26" s="102">
        <v>35</v>
      </c>
    </row>
    <row r="27" spans="1:16" x14ac:dyDescent="0.45">
      <c r="A27" s="96">
        <v>32</v>
      </c>
      <c r="B27" s="98" t="s">
        <v>222</v>
      </c>
      <c r="C27" s="98" t="s">
        <v>583</v>
      </c>
      <c r="D27" s="160" t="s">
        <v>502</v>
      </c>
      <c r="E27" s="98" t="s">
        <v>584</v>
      </c>
      <c r="F27" s="98" t="s">
        <v>26</v>
      </c>
      <c r="G27" s="99"/>
      <c r="H27" s="100"/>
      <c r="I27" s="147">
        <v>44172</v>
      </c>
      <c r="J27" s="102">
        <v>70</v>
      </c>
    </row>
    <row r="28" spans="1:16" x14ac:dyDescent="0.45">
      <c r="A28" s="96">
        <v>96</v>
      </c>
      <c r="B28" s="97" t="s">
        <v>203</v>
      </c>
      <c r="C28" s="98" t="s">
        <v>665</v>
      </c>
      <c r="D28" s="159" t="s">
        <v>220</v>
      </c>
      <c r="E28" s="97" t="s">
        <v>372</v>
      </c>
      <c r="F28" s="97" t="s">
        <v>666</v>
      </c>
      <c r="G28" s="99"/>
      <c r="H28" s="100"/>
      <c r="I28" s="101">
        <v>44267</v>
      </c>
      <c r="J28" s="102">
        <v>50</v>
      </c>
    </row>
    <row r="29" spans="1:16" x14ac:dyDescent="0.45">
      <c r="A29" s="96">
        <v>34</v>
      </c>
      <c r="B29" s="97" t="s">
        <v>203</v>
      </c>
      <c r="C29" s="98" t="s">
        <v>594</v>
      </c>
      <c r="D29" s="159" t="s">
        <v>98</v>
      </c>
      <c r="E29" s="125">
        <v>18</v>
      </c>
      <c r="F29" s="97" t="s">
        <v>114</v>
      </c>
      <c r="G29" s="99"/>
      <c r="H29" s="100"/>
      <c r="I29" s="147">
        <v>44099</v>
      </c>
      <c r="J29" s="102">
        <v>35</v>
      </c>
    </row>
    <row r="30" spans="1:16" x14ac:dyDescent="0.45">
      <c r="A30" s="96">
        <v>37</v>
      </c>
      <c r="B30" s="97" t="s">
        <v>203</v>
      </c>
      <c r="C30" s="98" t="s">
        <v>351</v>
      </c>
      <c r="D30" s="159" t="s">
        <v>20</v>
      </c>
      <c r="E30" s="97" t="s">
        <v>22</v>
      </c>
      <c r="F30" s="97" t="s">
        <v>23</v>
      </c>
      <c r="G30" s="99"/>
      <c r="H30" s="100"/>
      <c r="I30" s="101">
        <v>44124</v>
      </c>
      <c r="J30" s="102">
        <f>70+35</f>
        <v>105</v>
      </c>
    </row>
    <row r="31" spans="1:16" x14ac:dyDescent="0.45">
      <c r="A31" s="96">
        <v>38</v>
      </c>
      <c r="B31" s="97" t="s">
        <v>298</v>
      </c>
      <c r="C31" s="98" t="s">
        <v>495</v>
      </c>
      <c r="D31" s="159" t="s">
        <v>24</v>
      </c>
      <c r="E31" s="97" t="s">
        <v>496</v>
      </c>
      <c r="F31" s="97" t="s">
        <v>76</v>
      </c>
      <c r="G31" s="99"/>
      <c r="H31" s="100"/>
      <c r="I31" s="101">
        <v>44119</v>
      </c>
      <c r="J31" s="102">
        <v>35</v>
      </c>
      <c r="L31" s="117"/>
    </row>
    <row r="32" spans="1:16" x14ac:dyDescent="0.45">
      <c r="A32" s="96">
        <v>99</v>
      </c>
      <c r="B32" s="97"/>
      <c r="C32" s="98" t="s">
        <v>674</v>
      </c>
      <c r="D32" s="159" t="s">
        <v>482</v>
      </c>
      <c r="E32" s="97" t="s">
        <v>455</v>
      </c>
      <c r="F32" s="97" t="s">
        <v>70</v>
      </c>
      <c r="G32" s="99"/>
      <c r="H32" s="100"/>
      <c r="I32" s="101">
        <v>44113</v>
      </c>
      <c r="J32" s="102">
        <v>35</v>
      </c>
    </row>
    <row r="33" spans="1:11" x14ac:dyDescent="0.45">
      <c r="A33" s="96">
        <v>43</v>
      </c>
      <c r="B33" s="97" t="s">
        <v>219</v>
      </c>
      <c r="C33" s="98" t="s">
        <v>573</v>
      </c>
      <c r="D33" s="159" t="s">
        <v>574</v>
      </c>
      <c r="E33" s="97" t="s">
        <v>441</v>
      </c>
      <c r="F33" s="97" t="s">
        <v>575</v>
      </c>
      <c r="G33" s="99"/>
      <c r="H33" s="100"/>
      <c r="I33" s="101">
        <v>44272</v>
      </c>
      <c r="J33" s="102">
        <f>70+35</f>
        <v>105</v>
      </c>
    </row>
    <row r="34" spans="1:11" x14ac:dyDescent="0.45">
      <c r="A34" s="96">
        <v>44</v>
      </c>
      <c r="B34" s="97" t="s">
        <v>219</v>
      </c>
      <c r="C34" s="98" t="s">
        <v>41</v>
      </c>
      <c r="D34" s="159" t="s">
        <v>77</v>
      </c>
      <c r="E34" s="97" t="s">
        <v>428</v>
      </c>
      <c r="F34" s="97" t="s">
        <v>18</v>
      </c>
      <c r="G34" s="99"/>
      <c r="H34" s="100"/>
      <c r="I34" s="101">
        <v>44112</v>
      </c>
      <c r="J34" s="102">
        <v>35</v>
      </c>
    </row>
    <row r="35" spans="1:11" x14ac:dyDescent="0.45">
      <c r="A35" s="96">
        <v>36</v>
      </c>
      <c r="B35" s="97" t="s">
        <v>219</v>
      </c>
      <c r="C35" s="98" t="s">
        <v>598</v>
      </c>
      <c r="D35" s="159" t="s">
        <v>101</v>
      </c>
      <c r="E35" s="97" t="s">
        <v>599</v>
      </c>
      <c r="F35" s="97" t="s">
        <v>600</v>
      </c>
      <c r="G35" s="99"/>
      <c r="H35" s="100"/>
      <c r="I35" s="147">
        <v>44267</v>
      </c>
      <c r="J35" s="102">
        <v>67.5</v>
      </c>
    </row>
    <row r="36" spans="1:11" x14ac:dyDescent="0.45">
      <c r="A36" s="96">
        <v>46</v>
      </c>
      <c r="B36" s="97" t="s">
        <v>203</v>
      </c>
      <c r="C36" s="98" t="s">
        <v>536</v>
      </c>
      <c r="D36" s="159" t="s">
        <v>78</v>
      </c>
      <c r="E36" s="97" t="s">
        <v>537</v>
      </c>
      <c r="F36" s="97" t="s">
        <v>81</v>
      </c>
      <c r="G36" s="99"/>
      <c r="H36" s="100"/>
      <c r="I36" s="101">
        <v>44273</v>
      </c>
      <c r="J36" s="102">
        <v>70</v>
      </c>
    </row>
    <row r="37" spans="1:11" x14ac:dyDescent="0.45">
      <c r="A37" s="96">
        <v>41</v>
      </c>
      <c r="B37" s="97" t="s">
        <v>219</v>
      </c>
      <c r="C37" s="98" t="s">
        <v>236</v>
      </c>
      <c r="D37" s="159" t="s">
        <v>62</v>
      </c>
      <c r="E37" s="97" t="s">
        <v>354</v>
      </c>
      <c r="F37" s="97" t="s">
        <v>55</v>
      </c>
      <c r="G37" s="99"/>
      <c r="H37" s="100"/>
      <c r="I37" s="147">
        <v>44221</v>
      </c>
      <c r="J37" s="102">
        <v>70</v>
      </c>
    </row>
    <row r="38" spans="1:11" x14ac:dyDescent="0.45">
      <c r="A38" s="96">
        <v>50</v>
      </c>
      <c r="B38" s="98" t="s">
        <v>200</v>
      </c>
      <c r="C38" s="98" t="s">
        <v>566</v>
      </c>
      <c r="D38" s="160" t="s">
        <v>103</v>
      </c>
      <c r="E38" s="98" t="s">
        <v>567</v>
      </c>
      <c r="F38" s="98" t="s">
        <v>37</v>
      </c>
      <c r="G38" s="99"/>
      <c r="H38" s="100"/>
      <c r="I38" s="101">
        <v>44117</v>
      </c>
      <c r="J38" s="102">
        <v>35</v>
      </c>
    </row>
    <row r="39" spans="1:11" x14ac:dyDescent="0.45">
      <c r="A39" s="96">
        <v>52</v>
      </c>
      <c r="B39" s="97" t="s">
        <v>219</v>
      </c>
      <c r="C39" s="98" t="s">
        <v>45</v>
      </c>
      <c r="D39" s="159" t="s">
        <v>80</v>
      </c>
      <c r="E39" s="106" t="s">
        <v>370</v>
      </c>
      <c r="F39" s="97" t="s">
        <v>81</v>
      </c>
      <c r="G39" s="99"/>
      <c r="H39" s="100"/>
      <c r="I39" s="101">
        <v>44119</v>
      </c>
      <c r="J39" s="102">
        <v>70</v>
      </c>
    </row>
    <row r="40" spans="1:11" x14ac:dyDescent="0.45">
      <c r="A40" s="96">
        <v>56</v>
      </c>
      <c r="B40" s="98" t="s">
        <v>219</v>
      </c>
      <c r="C40" s="98" t="s">
        <v>109</v>
      </c>
      <c r="D40" s="160" t="s">
        <v>48</v>
      </c>
      <c r="E40" s="98" t="s">
        <v>527</v>
      </c>
      <c r="F40" s="98" t="s">
        <v>241</v>
      </c>
      <c r="G40" s="99"/>
      <c r="H40" s="100"/>
      <c r="I40" s="101">
        <v>44218</v>
      </c>
      <c r="J40" s="102">
        <v>70</v>
      </c>
    </row>
    <row r="41" spans="1:11" x14ac:dyDescent="0.45">
      <c r="A41" s="96">
        <v>57</v>
      </c>
      <c r="B41" s="97" t="s">
        <v>203</v>
      </c>
      <c r="C41" s="98" t="s">
        <v>325</v>
      </c>
      <c r="D41" s="159" t="s">
        <v>29</v>
      </c>
      <c r="E41" s="97" t="s">
        <v>326</v>
      </c>
      <c r="F41" s="97" t="s">
        <v>30</v>
      </c>
      <c r="G41" s="107"/>
      <c r="H41" s="107"/>
      <c r="I41" s="146">
        <v>44267</v>
      </c>
      <c r="J41" s="102">
        <v>70</v>
      </c>
      <c r="K41" s="12">
        <v>232.5</v>
      </c>
    </row>
    <row r="42" spans="1:11" x14ac:dyDescent="0.45">
      <c r="A42" s="96">
        <v>58</v>
      </c>
      <c r="B42" s="97" t="s">
        <v>203</v>
      </c>
      <c r="C42" s="98" t="s">
        <v>275</v>
      </c>
      <c r="D42" s="159" t="s">
        <v>33</v>
      </c>
      <c r="E42" s="97" t="s">
        <v>238</v>
      </c>
      <c r="F42" s="97" t="s">
        <v>34</v>
      </c>
      <c r="G42" s="99"/>
      <c r="H42" s="100"/>
      <c r="I42" s="101">
        <v>44267</v>
      </c>
      <c r="J42" s="102">
        <f>70+35+35</f>
        <v>140</v>
      </c>
    </row>
    <row r="43" spans="1:11" x14ac:dyDescent="0.45">
      <c r="A43" s="96">
        <v>93</v>
      </c>
      <c r="B43" s="97" t="s">
        <v>653</v>
      </c>
      <c r="C43" s="98" t="s">
        <v>659</v>
      </c>
      <c r="D43" s="159" t="s">
        <v>660</v>
      </c>
      <c r="E43" s="97" t="s">
        <v>661</v>
      </c>
      <c r="F43" s="97" t="s">
        <v>11</v>
      </c>
      <c r="G43" s="99"/>
      <c r="H43" s="100"/>
      <c r="I43" s="101">
        <v>44270</v>
      </c>
      <c r="J43" s="102">
        <v>67.5</v>
      </c>
    </row>
    <row r="44" spans="1:11" x14ac:dyDescent="0.45">
      <c r="A44" s="96">
        <v>60</v>
      </c>
      <c r="B44" s="97" t="s">
        <v>203</v>
      </c>
      <c r="C44" s="98" t="s">
        <v>384</v>
      </c>
      <c r="D44" s="159" t="s">
        <v>82</v>
      </c>
      <c r="E44" s="106" t="s">
        <v>385</v>
      </c>
      <c r="F44" s="97" t="s">
        <v>386</v>
      </c>
      <c r="G44" s="99"/>
      <c r="H44" s="100"/>
      <c r="I44" s="101">
        <v>44130</v>
      </c>
      <c r="J44" s="102">
        <v>70</v>
      </c>
    </row>
    <row r="45" spans="1:11" x14ac:dyDescent="0.45">
      <c r="A45" s="96">
        <v>61</v>
      </c>
      <c r="B45" s="97" t="s">
        <v>222</v>
      </c>
      <c r="C45" s="98" t="s">
        <v>325</v>
      </c>
      <c r="D45" s="159" t="s">
        <v>669</v>
      </c>
      <c r="E45" s="97" t="s">
        <v>54</v>
      </c>
      <c r="F45" s="97" t="s">
        <v>55</v>
      </c>
      <c r="G45" s="99"/>
      <c r="H45" s="100"/>
      <c r="I45" s="101">
        <v>44218</v>
      </c>
      <c r="J45" s="102">
        <v>70</v>
      </c>
    </row>
    <row r="46" spans="1:11" x14ac:dyDescent="0.45">
      <c r="A46" s="96">
        <v>62</v>
      </c>
      <c r="B46" s="97" t="s">
        <v>219</v>
      </c>
      <c r="C46" s="98" t="s">
        <v>235</v>
      </c>
      <c r="D46" s="159" t="s">
        <v>35</v>
      </c>
      <c r="E46" s="97" t="s">
        <v>36</v>
      </c>
      <c r="F46" s="97" t="s">
        <v>37</v>
      </c>
      <c r="G46" s="99"/>
      <c r="H46" s="100"/>
      <c r="I46" s="101">
        <v>44097</v>
      </c>
      <c r="J46" s="102">
        <v>35</v>
      </c>
    </row>
    <row r="47" spans="1:11" x14ac:dyDescent="0.45">
      <c r="A47" s="96">
        <v>95</v>
      </c>
      <c r="B47" s="97" t="s">
        <v>298</v>
      </c>
      <c r="C47" s="98" t="s">
        <v>47</v>
      </c>
      <c r="D47" s="159" t="s">
        <v>106</v>
      </c>
      <c r="E47" s="97" t="s">
        <v>664</v>
      </c>
      <c r="F47" s="97" t="s">
        <v>6</v>
      </c>
      <c r="G47" s="99"/>
      <c r="H47" s="100"/>
      <c r="I47" s="101">
        <v>44126</v>
      </c>
      <c r="J47" s="102">
        <v>35</v>
      </c>
    </row>
    <row r="48" spans="1:11" x14ac:dyDescent="0.45">
      <c r="A48" s="96">
        <v>64</v>
      </c>
      <c r="B48" s="97" t="s">
        <v>200</v>
      </c>
      <c r="C48" s="98" t="s">
        <v>380</v>
      </c>
      <c r="D48" s="159" t="s">
        <v>107</v>
      </c>
      <c r="E48" s="97" t="s">
        <v>570</v>
      </c>
      <c r="F48" s="97" t="s">
        <v>571</v>
      </c>
      <c r="G48" s="99"/>
      <c r="H48" s="100"/>
      <c r="I48" s="101">
        <v>44125</v>
      </c>
      <c r="J48" s="102">
        <v>35</v>
      </c>
    </row>
    <row r="49" spans="1:10" x14ac:dyDescent="0.45">
      <c r="A49" s="96">
        <v>81</v>
      </c>
      <c r="B49" s="98" t="s">
        <v>653</v>
      </c>
      <c r="C49" s="98" t="s">
        <v>654</v>
      </c>
      <c r="D49" s="160" t="s">
        <v>210</v>
      </c>
      <c r="E49" s="98" t="s">
        <v>510</v>
      </c>
      <c r="F49" s="98" t="s">
        <v>655</v>
      </c>
      <c r="G49" s="99"/>
      <c r="H49" s="100"/>
      <c r="I49" s="101">
        <v>44273</v>
      </c>
      <c r="J49" s="102">
        <v>35</v>
      </c>
    </row>
    <row r="50" spans="1:10" x14ac:dyDescent="0.45">
      <c r="A50" s="96">
        <v>67</v>
      </c>
      <c r="B50" s="107" t="s">
        <v>200</v>
      </c>
      <c r="C50" s="107" t="s">
        <v>391</v>
      </c>
      <c r="D50" s="107" t="s">
        <v>83</v>
      </c>
      <c r="E50" s="106" t="s">
        <v>84</v>
      </c>
      <c r="F50" s="107" t="s">
        <v>85</v>
      </c>
      <c r="G50" s="99"/>
      <c r="H50" s="100"/>
      <c r="I50" s="101">
        <v>44123</v>
      </c>
      <c r="J50" s="102">
        <v>35</v>
      </c>
    </row>
    <row r="51" spans="1:10" x14ac:dyDescent="0.45">
      <c r="A51" s="96">
        <v>40</v>
      </c>
      <c r="B51" s="97" t="s">
        <v>242</v>
      </c>
      <c r="C51" s="98" t="s">
        <v>588</v>
      </c>
      <c r="D51" s="159" t="s">
        <v>589</v>
      </c>
      <c r="E51" s="97" t="s">
        <v>483</v>
      </c>
      <c r="F51" s="97" t="s">
        <v>70</v>
      </c>
      <c r="G51" s="99"/>
      <c r="H51" s="100"/>
      <c r="I51" s="101">
        <v>44112</v>
      </c>
      <c r="J51" s="102">
        <v>35</v>
      </c>
    </row>
    <row r="52" spans="1:10" x14ac:dyDescent="0.45">
      <c r="A52" s="96">
        <v>24</v>
      </c>
      <c r="B52" s="97" t="s">
        <v>298</v>
      </c>
      <c r="C52" s="98" t="s">
        <v>648</v>
      </c>
      <c r="D52" s="159" t="s">
        <v>108</v>
      </c>
      <c r="E52" s="97" t="s">
        <v>649</v>
      </c>
      <c r="F52" s="97" t="s">
        <v>434</v>
      </c>
      <c r="G52" s="99"/>
      <c r="H52" s="100"/>
      <c r="I52" s="147">
        <v>44270</v>
      </c>
      <c r="J52" s="102">
        <v>70</v>
      </c>
    </row>
    <row r="53" spans="1:10" x14ac:dyDescent="0.45">
      <c r="A53" s="96">
        <v>68</v>
      </c>
      <c r="B53" s="97" t="s">
        <v>200</v>
      </c>
      <c r="C53" s="98" t="s">
        <v>252</v>
      </c>
      <c r="D53" s="159" t="s">
        <v>31</v>
      </c>
      <c r="E53" s="97" t="s">
        <v>253</v>
      </c>
      <c r="F53" s="97" t="s">
        <v>32</v>
      </c>
      <c r="G53" s="99"/>
      <c r="H53" s="100"/>
      <c r="I53" s="101">
        <v>44117</v>
      </c>
      <c r="J53" s="102">
        <v>35</v>
      </c>
    </row>
    <row r="54" spans="1:10" x14ac:dyDescent="0.45">
      <c r="A54" s="96">
        <v>70</v>
      </c>
      <c r="B54" s="97" t="s">
        <v>200</v>
      </c>
      <c r="C54" s="98" t="s">
        <v>296</v>
      </c>
      <c r="D54" s="159" t="s">
        <v>38</v>
      </c>
      <c r="E54" s="97" t="s">
        <v>455</v>
      </c>
      <c r="F54" s="97" t="s">
        <v>456</v>
      </c>
      <c r="G54" s="99"/>
      <c r="H54" s="100"/>
      <c r="I54" s="101">
        <v>44116</v>
      </c>
      <c r="J54" s="102">
        <v>35</v>
      </c>
    </row>
    <row r="55" spans="1:10" x14ac:dyDescent="0.45">
      <c r="A55" s="96">
        <v>59</v>
      </c>
      <c r="B55" s="97" t="s">
        <v>222</v>
      </c>
      <c r="C55" s="98" t="s">
        <v>204</v>
      </c>
      <c r="D55" s="159" t="s">
        <v>454</v>
      </c>
      <c r="E55" s="97" t="s">
        <v>406</v>
      </c>
      <c r="F55" s="97" t="s">
        <v>114</v>
      </c>
      <c r="G55" s="99"/>
      <c r="H55" s="100"/>
      <c r="I55" s="147">
        <v>44267</v>
      </c>
      <c r="J55" s="102">
        <v>140</v>
      </c>
    </row>
    <row r="56" spans="1:10" x14ac:dyDescent="0.45">
      <c r="A56" s="96">
        <v>82</v>
      </c>
      <c r="B56" s="97" t="s">
        <v>203</v>
      </c>
      <c r="C56" s="98" t="s">
        <v>656</v>
      </c>
      <c r="D56" s="159" t="s">
        <v>110</v>
      </c>
      <c r="E56" s="97" t="s">
        <v>657</v>
      </c>
      <c r="F56" s="97" t="s">
        <v>376</v>
      </c>
      <c r="G56" s="99"/>
      <c r="H56" s="100"/>
      <c r="I56" s="101">
        <v>44270</v>
      </c>
      <c r="J56" s="102">
        <v>67.5</v>
      </c>
    </row>
    <row r="57" spans="1:10" x14ac:dyDescent="0.45">
      <c r="A57" s="96">
        <v>72</v>
      </c>
      <c r="B57" s="97" t="s">
        <v>203</v>
      </c>
      <c r="C57" s="98" t="s">
        <v>551</v>
      </c>
      <c r="D57" s="159" t="s">
        <v>39</v>
      </c>
      <c r="E57" s="125">
        <v>4</v>
      </c>
      <c r="F57" s="97" t="s">
        <v>453</v>
      </c>
      <c r="G57" s="99"/>
      <c r="H57" s="100"/>
      <c r="I57" s="101">
        <v>44119</v>
      </c>
      <c r="J57" s="102">
        <v>70</v>
      </c>
    </row>
    <row r="58" spans="1:10" x14ac:dyDescent="0.45">
      <c r="A58" s="96">
        <v>73</v>
      </c>
      <c r="B58" s="98" t="s">
        <v>203</v>
      </c>
      <c r="C58" s="98" t="s">
        <v>414</v>
      </c>
      <c r="D58" s="160" t="s">
        <v>40</v>
      </c>
      <c r="E58" s="98" t="s">
        <v>415</v>
      </c>
      <c r="F58" s="98" t="s">
        <v>397</v>
      </c>
      <c r="G58" s="99"/>
      <c r="H58" s="100"/>
      <c r="I58" s="101">
        <v>44118</v>
      </c>
      <c r="J58" s="102">
        <v>35</v>
      </c>
    </row>
    <row r="59" spans="1:10" x14ac:dyDescent="0.45">
      <c r="A59" s="96">
        <v>77</v>
      </c>
      <c r="B59" s="97" t="s">
        <v>219</v>
      </c>
      <c r="C59" s="98" t="s">
        <v>604</v>
      </c>
      <c r="D59" s="159" t="s">
        <v>116</v>
      </c>
      <c r="E59" s="97" t="s">
        <v>343</v>
      </c>
      <c r="F59" s="97" t="s">
        <v>605</v>
      </c>
      <c r="G59" s="99"/>
      <c r="H59" s="100"/>
      <c r="I59" s="101">
        <v>44259</v>
      </c>
      <c r="J59" s="102">
        <v>70</v>
      </c>
    </row>
    <row r="60" spans="1:10" x14ac:dyDescent="0.45">
      <c r="A60" s="96">
        <v>80</v>
      </c>
      <c r="B60" s="97" t="s">
        <v>203</v>
      </c>
      <c r="C60" s="98" t="s">
        <v>651</v>
      </c>
      <c r="D60" s="159" t="s">
        <v>542</v>
      </c>
      <c r="E60" s="97" t="s">
        <v>652</v>
      </c>
      <c r="F60" s="97" t="s">
        <v>320</v>
      </c>
      <c r="G60" s="99"/>
      <c r="H60" s="100"/>
      <c r="I60" s="147">
        <v>44272</v>
      </c>
      <c r="J60" s="102">
        <v>70</v>
      </c>
    </row>
    <row r="61" spans="1:10" x14ac:dyDescent="0.45">
      <c r="A61" s="96">
        <v>74</v>
      </c>
      <c r="B61" s="98" t="s">
        <v>203</v>
      </c>
      <c r="C61" s="98" t="s">
        <v>335</v>
      </c>
      <c r="D61" s="160" t="s">
        <v>42</v>
      </c>
      <c r="E61" s="98" t="s">
        <v>460</v>
      </c>
      <c r="F61" s="98" t="s">
        <v>43</v>
      </c>
      <c r="G61" s="107"/>
      <c r="H61" s="107"/>
      <c r="I61" s="104">
        <v>44118</v>
      </c>
      <c r="J61" s="131">
        <v>35</v>
      </c>
    </row>
    <row r="62" spans="1:10" x14ac:dyDescent="0.45">
      <c r="A62" s="96">
        <v>79</v>
      </c>
      <c r="B62" s="97" t="s">
        <v>298</v>
      </c>
      <c r="C62" s="98" t="s">
        <v>377</v>
      </c>
      <c r="D62" s="159" t="s">
        <v>65</v>
      </c>
      <c r="E62" s="97" t="s">
        <v>606</v>
      </c>
      <c r="F62" s="97" t="s">
        <v>332</v>
      </c>
      <c r="G62" s="99"/>
      <c r="H62" s="100"/>
      <c r="I62" s="101">
        <v>44222</v>
      </c>
      <c r="J62" s="102">
        <v>70</v>
      </c>
    </row>
    <row r="63" spans="1:10" x14ac:dyDescent="0.45">
      <c r="A63" s="96">
        <v>78</v>
      </c>
      <c r="B63" s="97" t="s">
        <v>298</v>
      </c>
      <c r="C63" s="98" t="s">
        <v>497</v>
      </c>
      <c r="D63" s="159" t="s">
        <v>87</v>
      </c>
      <c r="E63" s="97" t="s">
        <v>455</v>
      </c>
      <c r="F63" s="97" t="s">
        <v>88</v>
      </c>
      <c r="G63" s="99"/>
      <c r="H63" s="100"/>
      <c r="I63" s="101">
        <v>44123</v>
      </c>
      <c r="J63" s="102">
        <v>35</v>
      </c>
    </row>
    <row r="64" spans="1:10" x14ac:dyDescent="0.45">
      <c r="A64" s="96">
        <v>101</v>
      </c>
      <c r="B64" s="97"/>
      <c r="C64" s="98"/>
      <c r="D64" s="159"/>
      <c r="E64" s="97"/>
      <c r="F64" s="97"/>
      <c r="G64" s="99"/>
      <c r="H64" s="100"/>
      <c r="I64" s="101"/>
      <c r="J64" s="102"/>
    </row>
    <row r="65" spans="1:16" x14ac:dyDescent="0.45">
      <c r="A65" s="96">
        <v>102</v>
      </c>
      <c r="B65" s="97"/>
      <c r="C65" s="98"/>
      <c r="D65" s="159"/>
      <c r="E65" s="97"/>
      <c r="F65" s="97"/>
      <c r="G65" s="99"/>
      <c r="H65" s="100"/>
      <c r="I65" s="101"/>
      <c r="L65" s="102">
        <f>SUM(J1:J64)</f>
        <v>3656</v>
      </c>
    </row>
    <row r="66" spans="1:16" x14ac:dyDescent="0.45">
      <c r="A66" s="96">
        <v>103</v>
      </c>
      <c r="B66" s="97"/>
      <c r="C66" s="98"/>
      <c r="D66" s="159"/>
      <c r="E66" s="97"/>
      <c r="F66" s="97"/>
      <c r="H66" s="7"/>
      <c r="I66" s="114"/>
      <c r="J66" s="7"/>
    </row>
    <row r="67" spans="1:16" x14ac:dyDescent="0.45">
      <c r="A67" s="96">
        <v>104</v>
      </c>
      <c r="B67" s="97"/>
      <c r="C67" s="98"/>
      <c r="D67" s="159"/>
      <c r="E67" s="97"/>
      <c r="F67" s="97"/>
      <c r="G67" s="99"/>
      <c r="H67" s="100"/>
      <c r="I67" s="101"/>
      <c r="J67" s="102"/>
    </row>
    <row r="68" spans="1:16" x14ac:dyDescent="0.45">
      <c r="A68" s="96">
        <v>105</v>
      </c>
      <c r="B68" s="97"/>
      <c r="C68" s="98"/>
      <c r="D68" s="159"/>
      <c r="E68" s="97"/>
      <c r="F68" s="97"/>
      <c r="G68" s="99"/>
      <c r="H68" s="100"/>
      <c r="I68" s="101"/>
      <c r="J68" s="102"/>
    </row>
    <row r="69" spans="1:16" x14ac:dyDescent="0.45">
      <c r="A69" s="96">
        <v>106</v>
      </c>
    </row>
    <row r="70" spans="1:16" x14ac:dyDescent="0.45">
      <c r="A70" s="96">
        <v>107</v>
      </c>
      <c r="L70" s="117"/>
    </row>
    <row r="71" spans="1:16" x14ac:dyDescent="0.45">
      <c r="A71" s="96">
        <v>108</v>
      </c>
      <c r="C71" s="118" t="s">
        <v>505</v>
      </c>
      <c r="D71" s="9">
        <v>45159</v>
      </c>
    </row>
    <row r="72" spans="1:16" x14ac:dyDescent="0.45">
      <c r="A72" s="96">
        <v>109</v>
      </c>
    </row>
    <row r="73" spans="1:16" x14ac:dyDescent="0.45">
      <c r="A73" s="96">
        <v>110</v>
      </c>
    </row>
    <row r="74" spans="1:16" x14ac:dyDescent="0.45">
      <c r="A74" s="96">
        <v>111</v>
      </c>
      <c r="C74" s="9">
        <v>43578</v>
      </c>
    </row>
    <row r="75" spans="1:16" x14ac:dyDescent="0.45">
      <c r="A75" s="96">
        <v>112</v>
      </c>
    </row>
    <row r="76" spans="1:16" x14ac:dyDescent="0.45">
      <c r="A76" s="96">
        <v>108</v>
      </c>
      <c r="B76" s="7"/>
      <c r="C76" s="7"/>
      <c r="D76" s="7"/>
      <c r="E76" s="113"/>
      <c r="F76" s="7"/>
      <c r="G76" s="7" t="s">
        <v>506</v>
      </c>
      <c r="H76" s="100"/>
      <c r="I76" s="101"/>
      <c r="J76" s="102">
        <f>E99</f>
        <v>777.5</v>
      </c>
    </row>
    <row r="77" spans="1:16" x14ac:dyDescent="0.45">
      <c r="A77" s="96">
        <v>109</v>
      </c>
      <c r="B77" s="97"/>
      <c r="C77" s="98"/>
      <c r="D77" s="159"/>
      <c r="E77" s="97"/>
      <c r="F77" s="97"/>
      <c r="H77" s="7"/>
      <c r="I77" s="114"/>
      <c r="J77" s="7"/>
    </row>
    <row r="78" spans="1:16" x14ac:dyDescent="0.45">
      <c r="A78" s="96">
        <v>110</v>
      </c>
      <c r="B78" s="97"/>
      <c r="C78" s="98"/>
      <c r="D78" s="159"/>
      <c r="E78" s="97"/>
      <c r="F78" s="97"/>
      <c r="G78" s="99"/>
      <c r="H78" s="100"/>
      <c r="I78" s="101"/>
      <c r="J78" s="102"/>
    </row>
    <row r="79" spans="1:16" x14ac:dyDescent="0.45">
      <c r="B79" s="7"/>
      <c r="C79" s="7"/>
      <c r="D79" s="7"/>
      <c r="E79" s="113"/>
      <c r="F79" s="7"/>
      <c r="G79" s="7"/>
      <c r="H79" s="7"/>
      <c r="I79" s="114"/>
      <c r="J79" s="7"/>
      <c r="P79" s="121"/>
    </row>
    <row r="80" spans="1:16" x14ac:dyDescent="0.45">
      <c r="B80" s="7"/>
      <c r="C80" s="7"/>
      <c r="D80" s="7"/>
      <c r="E80" s="113"/>
      <c r="F80" s="7"/>
      <c r="G80" s="7"/>
      <c r="H80" s="7"/>
      <c r="I80" s="114"/>
      <c r="J80" s="7"/>
    </row>
    <row r="81" spans="1:14" x14ac:dyDescent="0.45">
      <c r="E81" s="158" t="s">
        <v>673</v>
      </c>
      <c r="I81" s="116"/>
      <c r="J81" s="117">
        <f>SUM(J76+L65)</f>
        <v>4433.5</v>
      </c>
      <c r="M81" s="14" t="s">
        <v>610</v>
      </c>
      <c r="N81" s="117">
        <f>4433.5-J81</f>
        <v>0</v>
      </c>
    </row>
    <row r="82" spans="1:14" x14ac:dyDescent="0.45">
      <c r="C82" t="s">
        <v>675</v>
      </c>
      <c r="E82">
        <v>35</v>
      </c>
      <c r="F82" s="121"/>
    </row>
    <row r="83" spans="1:14" x14ac:dyDescent="0.45">
      <c r="C83" t="s">
        <v>92</v>
      </c>
      <c r="E83">
        <v>35</v>
      </c>
      <c r="F83" s="121"/>
    </row>
    <row r="84" spans="1:14" x14ac:dyDescent="0.45">
      <c r="C84" t="s">
        <v>93</v>
      </c>
      <c r="E84">
        <v>67.5</v>
      </c>
      <c r="F84" s="121"/>
      <c r="K84">
        <f>J81*0.25</f>
        <v>1108.375</v>
      </c>
    </row>
    <row r="85" spans="1:14" x14ac:dyDescent="0.45">
      <c r="C85" s="161" t="s">
        <v>12</v>
      </c>
      <c r="E85" s="157">
        <f>35+35</f>
        <v>70</v>
      </c>
      <c r="F85" s="145">
        <f>J81/4</f>
        <v>1108.375</v>
      </c>
    </row>
    <row r="86" spans="1:14" x14ac:dyDescent="0.45">
      <c r="A86" t="s">
        <v>676</v>
      </c>
      <c r="E86">
        <v>50</v>
      </c>
    </row>
    <row r="87" spans="1:14" x14ac:dyDescent="0.45">
      <c r="C87" s="161" t="s">
        <v>519</v>
      </c>
      <c r="D87" s="120"/>
      <c r="E87" s="157">
        <v>35</v>
      </c>
    </row>
    <row r="88" spans="1:14" x14ac:dyDescent="0.45">
      <c r="C88" s="161" t="s">
        <v>59</v>
      </c>
      <c r="E88" s="157">
        <v>35</v>
      </c>
    </row>
    <row r="89" spans="1:14" x14ac:dyDescent="0.45">
      <c r="C89" s="161" t="s">
        <v>102</v>
      </c>
      <c r="E89" s="157">
        <v>67.5</v>
      </c>
    </row>
    <row r="90" spans="1:14" x14ac:dyDescent="0.45">
      <c r="C90" s="161" t="s">
        <v>79</v>
      </c>
      <c r="E90" s="157">
        <v>70</v>
      </c>
    </row>
    <row r="91" spans="1:14" x14ac:dyDescent="0.45">
      <c r="A91" s="9">
        <v>44224</v>
      </c>
      <c r="C91" t="s">
        <v>672</v>
      </c>
    </row>
    <row r="92" spans="1:14" x14ac:dyDescent="0.45">
      <c r="C92" s="161" t="s">
        <v>568</v>
      </c>
      <c r="E92" s="157">
        <v>35</v>
      </c>
    </row>
    <row r="93" spans="1:14" x14ac:dyDescent="0.45">
      <c r="C93" t="s">
        <v>677</v>
      </c>
      <c r="E93" s="157">
        <v>35</v>
      </c>
    </row>
    <row r="94" spans="1:14" x14ac:dyDescent="0.45">
      <c r="C94" t="s">
        <v>104</v>
      </c>
      <c r="E94" s="157">
        <v>67.5</v>
      </c>
    </row>
    <row r="95" spans="1:14" x14ac:dyDescent="0.45">
      <c r="C95" s="161" t="s">
        <v>111</v>
      </c>
      <c r="E95" s="157">
        <v>35</v>
      </c>
    </row>
    <row r="96" spans="1:14" x14ac:dyDescent="0.45">
      <c r="C96" t="s">
        <v>112</v>
      </c>
      <c r="E96" s="157">
        <v>70</v>
      </c>
    </row>
    <row r="97" spans="3:5" x14ac:dyDescent="0.45">
      <c r="C97" t="s">
        <v>42</v>
      </c>
      <c r="E97" s="157">
        <v>70</v>
      </c>
    </row>
    <row r="99" spans="3:5" x14ac:dyDescent="0.45">
      <c r="E99">
        <f>SUM(E82:E97)</f>
        <v>777.5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P106"/>
  <sheetViews>
    <sheetView topLeftCell="A88" workbookViewId="0">
      <selection activeCell="D108" sqref="D108"/>
    </sheetView>
  </sheetViews>
  <sheetFormatPr defaultRowHeight="14.25" x14ac:dyDescent="0.45"/>
  <cols>
    <col min="1" max="1" width="9" bestFit="1" customWidth="1"/>
    <col min="3" max="3" width="18.1328125" customWidth="1"/>
    <col min="4" max="4" width="20.33203125" customWidth="1"/>
    <col min="5" max="5" width="26.33203125" bestFit="1" customWidth="1"/>
    <col min="6" max="6" width="11" bestFit="1" customWidth="1"/>
    <col min="9" max="9" width="11" style="134" bestFit="1" customWidth="1"/>
    <col min="10" max="10" width="9" bestFit="1" customWidth="1"/>
    <col min="11" max="11" width="10.53125" bestFit="1" customWidth="1"/>
    <col min="13" max="13" width="10.53125" bestFit="1" customWidth="1"/>
    <col min="14" max="14" width="8.86328125" style="4"/>
    <col min="15" max="15" width="11.6640625" style="4" customWidth="1"/>
  </cols>
  <sheetData>
    <row r="1" spans="1:15" x14ac:dyDescent="0.45">
      <c r="A1" s="96">
        <v>1</v>
      </c>
      <c r="B1" s="97" t="s">
        <v>203</v>
      </c>
      <c r="C1" s="98" t="s">
        <v>440</v>
      </c>
      <c r="D1" s="97" t="s">
        <v>49</v>
      </c>
      <c r="E1" s="97" t="s">
        <v>211</v>
      </c>
      <c r="F1" s="97" t="s">
        <v>249</v>
      </c>
      <c r="G1" s="99"/>
      <c r="H1" s="100"/>
      <c r="I1" s="101">
        <v>43063</v>
      </c>
      <c r="J1" s="102">
        <v>70</v>
      </c>
      <c r="O1" s="136">
        <v>42853</v>
      </c>
    </row>
    <row r="2" spans="1:15" x14ac:dyDescent="0.45">
      <c r="A2" s="96">
        <v>2</v>
      </c>
      <c r="B2" s="97" t="s">
        <v>298</v>
      </c>
      <c r="C2" s="98" t="s">
        <v>321</v>
      </c>
      <c r="D2" s="97" t="s">
        <v>1</v>
      </c>
      <c r="E2" s="97" t="s">
        <v>322</v>
      </c>
      <c r="F2" s="97" t="s">
        <v>2</v>
      </c>
      <c r="G2" s="99"/>
      <c r="H2" s="100"/>
      <c r="I2" s="101">
        <v>43133</v>
      </c>
      <c r="J2" s="102">
        <v>105</v>
      </c>
    </row>
    <row r="3" spans="1:15" x14ac:dyDescent="0.45">
      <c r="A3" s="96">
        <v>3</v>
      </c>
      <c r="B3" s="97" t="s">
        <v>203</v>
      </c>
      <c r="C3" s="98" t="s">
        <v>215</v>
      </c>
      <c r="D3" s="97" t="s">
        <v>216</v>
      </c>
      <c r="E3" s="97" t="s">
        <v>217</v>
      </c>
      <c r="F3" s="97" t="s">
        <v>218</v>
      </c>
      <c r="G3" s="99"/>
      <c r="H3" s="100"/>
      <c r="I3" s="101">
        <v>43131</v>
      </c>
      <c r="J3" s="102">
        <v>105</v>
      </c>
    </row>
    <row r="4" spans="1:15" x14ac:dyDescent="0.45">
      <c r="A4" s="96">
        <v>4</v>
      </c>
      <c r="B4" s="97" t="s">
        <v>203</v>
      </c>
      <c r="C4" s="98" t="s">
        <v>467</v>
      </c>
      <c r="D4" s="97" t="s">
        <v>468</v>
      </c>
      <c r="E4" s="97" t="s">
        <v>469</v>
      </c>
      <c r="F4" s="97" t="s">
        <v>470</v>
      </c>
      <c r="G4" s="99"/>
      <c r="H4" s="100"/>
      <c r="I4" s="101">
        <v>43119</v>
      </c>
      <c r="J4" s="102">
        <v>105</v>
      </c>
    </row>
    <row r="5" spans="1:15" x14ac:dyDescent="0.45">
      <c r="A5" s="96">
        <v>5</v>
      </c>
      <c r="B5" s="97" t="s">
        <v>219</v>
      </c>
      <c r="C5" s="98" t="s">
        <v>383</v>
      </c>
      <c r="D5" s="97" t="s">
        <v>3</v>
      </c>
      <c r="E5" s="97" t="s">
        <v>372</v>
      </c>
      <c r="F5" s="97" t="s">
        <v>4</v>
      </c>
      <c r="G5" s="99"/>
      <c r="H5" s="100"/>
      <c r="I5" s="101">
        <v>43144</v>
      </c>
      <c r="J5" s="102">
        <v>210</v>
      </c>
    </row>
    <row r="6" spans="1:15" x14ac:dyDescent="0.45">
      <c r="A6" s="96">
        <v>6</v>
      </c>
      <c r="B6" s="97" t="s">
        <v>222</v>
      </c>
      <c r="C6" s="98" t="s">
        <v>475</v>
      </c>
      <c r="D6" s="97" t="s">
        <v>476</v>
      </c>
      <c r="E6" s="97" t="s">
        <v>477</v>
      </c>
      <c r="F6" s="97" t="s">
        <v>478</v>
      </c>
      <c r="G6" s="99"/>
      <c r="H6" s="100"/>
      <c r="I6" s="101">
        <v>43130</v>
      </c>
      <c r="J6" s="102">
        <v>105</v>
      </c>
    </row>
    <row r="7" spans="1:15" x14ac:dyDescent="0.45">
      <c r="A7" s="96">
        <v>7</v>
      </c>
      <c r="B7" s="97" t="s">
        <v>203</v>
      </c>
      <c r="C7" s="98" t="s">
        <v>479</v>
      </c>
      <c r="D7" s="97" t="s">
        <v>531</v>
      </c>
      <c r="E7" s="125">
        <v>6</v>
      </c>
      <c r="F7" s="107" t="s">
        <v>66</v>
      </c>
      <c r="G7" s="99"/>
      <c r="H7" s="100"/>
      <c r="I7" s="101">
        <v>43130</v>
      </c>
      <c r="J7" s="102">
        <v>70</v>
      </c>
    </row>
    <row r="8" spans="1:15" x14ac:dyDescent="0.45">
      <c r="A8" s="96">
        <v>8</v>
      </c>
      <c r="B8" s="97" t="s">
        <v>203</v>
      </c>
      <c r="C8" s="98" t="s">
        <v>286</v>
      </c>
      <c r="D8" s="97" t="s">
        <v>287</v>
      </c>
      <c r="E8" s="97" t="s">
        <v>288</v>
      </c>
      <c r="F8" s="97" t="s">
        <v>6</v>
      </c>
      <c r="G8" s="99"/>
      <c r="H8" s="100"/>
      <c r="I8" s="101">
        <v>43006</v>
      </c>
      <c r="J8" s="102">
        <v>70</v>
      </c>
    </row>
    <row r="9" spans="1:15" x14ac:dyDescent="0.45">
      <c r="A9" s="96">
        <v>9</v>
      </c>
      <c r="B9" s="97" t="s">
        <v>222</v>
      </c>
      <c r="C9" s="98" t="s">
        <v>275</v>
      </c>
      <c r="D9" s="97" t="s">
        <v>442</v>
      </c>
      <c r="E9" s="97" t="s">
        <v>396</v>
      </c>
      <c r="F9" s="97" t="s">
        <v>68</v>
      </c>
      <c r="G9" s="99"/>
      <c r="H9" s="100"/>
      <c r="I9" s="101">
        <v>43132</v>
      </c>
      <c r="J9" s="102">
        <v>105</v>
      </c>
    </row>
    <row r="10" spans="1:15" x14ac:dyDescent="0.45">
      <c r="A10" s="96">
        <v>10</v>
      </c>
      <c r="B10" s="97" t="s">
        <v>200</v>
      </c>
      <c r="C10" s="98" t="s">
        <v>201</v>
      </c>
      <c r="D10" s="97" t="s">
        <v>5</v>
      </c>
      <c r="E10" s="97" t="s">
        <v>202</v>
      </c>
      <c r="F10" s="97" t="s">
        <v>6</v>
      </c>
      <c r="G10" s="99"/>
      <c r="H10" s="100"/>
      <c r="I10" s="101">
        <v>43136</v>
      </c>
      <c r="J10" s="102">
        <v>210</v>
      </c>
    </row>
    <row r="11" spans="1:15" x14ac:dyDescent="0.45">
      <c r="A11" s="96">
        <v>11</v>
      </c>
      <c r="B11" s="98" t="s">
        <v>200</v>
      </c>
      <c r="C11" s="98" t="s">
        <v>289</v>
      </c>
      <c r="D11" s="98" t="s">
        <v>290</v>
      </c>
      <c r="E11" s="98" t="s">
        <v>291</v>
      </c>
      <c r="F11" s="98" t="s">
        <v>292</v>
      </c>
      <c r="G11" s="99"/>
      <c r="H11" s="100"/>
      <c r="I11" s="101">
        <v>43126</v>
      </c>
      <c r="J11" s="102">
        <v>105</v>
      </c>
    </row>
    <row r="12" spans="1:15" x14ac:dyDescent="0.45">
      <c r="A12" s="96">
        <v>12</v>
      </c>
      <c r="B12" s="97" t="s">
        <v>222</v>
      </c>
      <c r="C12" s="98" t="s">
        <v>418</v>
      </c>
      <c r="D12" s="103" t="s">
        <v>419</v>
      </c>
      <c r="E12" s="97" t="s">
        <v>56</v>
      </c>
      <c r="F12" s="97" t="s">
        <v>57</v>
      </c>
      <c r="G12" s="99"/>
      <c r="H12" s="100"/>
      <c r="I12" s="101">
        <v>43119</v>
      </c>
      <c r="J12" s="102">
        <v>105</v>
      </c>
    </row>
    <row r="13" spans="1:15" x14ac:dyDescent="0.45">
      <c r="A13" s="96">
        <v>13</v>
      </c>
      <c r="B13" s="108" t="s">
        <v>242</v>
      </c>
      <c r="C13" s="109" t="s">
        <v>213</v>
      </c>
      <c r="D13" s="108" t="s">
        <v>17</v>
      </c>
      <c r="E13" s="119" t="s">
        <v>544</v>
      </c>
      <c r="F13" s="140" t="s">
        <v>360</v>
      </c>
      <c r="G13" s="7"/>
      <c r="H13" s="7"/>
      <c r="I13" s="135">
        <v>43136</v>
      </c>
      <c r="J13" s="102">
        <v>70</v>
      </c>
    </row>
    <row r="14" spans="1:15" x14ac:dyDescent="0.45">
      <c r="A14" s="96">
        <v>14</v>
      </c>
      <c r="B14" s="98" t="s">
        <v>200</v>
      </c>
      <c r="C14" s="98" t="s">
        <v>293</v>
      </c>
      <c r="D14" s="98" t="s">
        <v>7</v>
      </c>
      <c r="E14" s="98" t="s">
        <v>295</v>
      </c>
      <c r="F14" s="98" t="s">
        <v>8</v>
      </c>
      <c r="G14" s="99"/>
      <c r="H14" s="100"/>
      <c r="I14" s="101">
        <v>43126</v>
      </c>
      <c r="J14" s="102">
        <v>105</v>
      </c>
    </row>
    <row r="15" spans="1:15" x14ac:dyDescent="0.45">
      <c r="A15" s="96">
        <v>15</v>
      </c>
      <c r="B15" s="97" t="s">
        <v>219</v>
      </c>
      <c r="C15" s="98" t="s">
        <v>484</v>
      </c>
      <c r="D15" s="97" t="s">
        <v>69</v>
      </c>
      <c r="E15" s="125">
        <v>33</v>
      </c>
      <c r="F15" s="97" t="s">
        <v>70</v>
      </c>
      <c r="G15" s="107"/>
      <c r="H15" s="107"/>
      <c r="I15" s="135">
        <v>43130</v>
      </c>
      <c r="J15" s="102">
        <v>70</v>
      </c>
    </row>
    <row r="16" spans="1:15" x14ac:dyDescent="0.45">
      <c r="A16" s="96">
        <v>16</v>
      </c>
      <c r="B16" s="97" t="s">
        <v>203</v>
      </c>
      <c r="C16" s="98" t="s">
        <v>283</v>
      </c>
      <c r="D16" s="97" t="s">
        <v>462</v>
      </c>
      <c r="E16" s="103" t="s">
        <v>480</v>
      </c>
      <c r="F16" s="97" t="s">
        <v>70</v>
      </c>
      <c r="G16" s="99"/>
      <c r="H16" s="100"/>
      <c r="I16" s="101">
        <v>42858</v>
      </c>
      <c r="J16" s="102">
        <v>35</v>
      </c>
    </row>
    <row r="17" spans="1:15" x14ac:dyDescent="0.45">
      <c r="A17" s="96">
        <v>17</v>
      </c>
      <c r="B17" s="98" t="s">
        <v>222</v>
      </c>
      <c r="C17" s="98" t="s">
        <v>289</v>
      </c>
      <c r="D17" s="98" t="s">
        <v>52</v>
      </c>
      <c r="E17" s="98" t="s">
        <v>396</v>
      </c>
      <c r="F17" s="98" t="s">
        <v>53</v>
      </c>
      <c r="G17" s="99"/>
      <c r="H17" s="100"/>
      <c r="I17" s="101">
        <v>43119</v>
      </c>
      <c r="J17" s="102">
        <v>105</v>
      </c>
    </row>
    <row r="18" spans="1:15" x14ac:dyDescent="0.45">
      <c r="A18" s="96">
        <v>18</v>
      </c>
      <c r="B18" s="97" t="s">
        <v>200</v>
      </c>
      <c r="C18" s="98" t="s">
        <v>485</v>
      </c>
      <c r="D18" s="97" t="s">
        <v>486</v>
      </c>
      <c r="E18" s="97" t="s">
        <v>253</v>
      </c>
      <c r="F18" s="97" t="s">
        <v>23</v>
      </c>
      <c r="G18" s="99"/>
      <c r="H18" s="100"/>
      <c r="I18" s="101">
        <v>43130</v>
      </c>
      <c r="J18" s="102">
        <v>70</v>
      </c>
    </row>
    <row r="19" spans="1:15" s="120" customFormat="1" ht="13.9" x14ac:dyDescent="0.4">
      <c r="A19" s="96">
        <v>19</v>
      </c>
      <c r="B19" s="108" t="s">
        <v>219</v>
      </c>
      <c r="C19" s="109" t="s">
        <v>45</v>
      </c>
      <c r="D19" s="108" t="s">
        <v>524</v>
      </c>
      <c r="E19" s="126" t="s">
        <v>319</v>
      </c>
      <c r="F19" s="108" t="s">
        <v>320</v>
      </c>
      <c r="G19" s="128"/>
      <c r="H19" s="129"/>
      <c r="I19" s="130">
        <v>43010</v>
      </c>
      <c r="J19" s="112">
        <v>70</v>
      </c>
      <c r="N19" s="134"/>
      <c r="O19" s="134"/>
    </row>
    <row r="20" spans="1:15" x14ac:dyDescent="0.45">
      <c r="A20" s="96">
        <v>20</v>
      </c>
      <c r="B20" s="97" t="s">
        <v>298</v>
      </c>
      <c r="C20" s="98" t="s">
        <v>420</v>
      </c>
      <c r="D20" s="97" t="s">
        <v>10</v>
      </c>
      <c r="E20" s="97" t="s">
        <v>421</v>
      </c>
      <c r="F20" s="97" t="s">
        <v>11</v>
      </c>
      <c r="G20" s="99"/>
      <c r="H20" s="100"/>
      <c r="I20" s="101">
        <v>43122</v>
      </c>
      <c r="J20" s="102">
        <v>105</v>
      </c>
    </row>
    <row r="21" spans="1:15" x14ac:dyDescent="0.45">
      <c r="A21" s="96">
        <v>21</v>
      </c>
      <c r="B21" s="98" t="s">
        <v>203</v>
      </c>
      <c r="C21" s="98" t="s">
        <v>201</v>
      </c>
      <c r="D21" s="98" t="s">
        <v>317</v>
      </c>
      <c r="E21" s="98" t="s">
        <v>318</v>
      </c>
      <c r="F21" s="98" t="s">
        <v>234</v>
      </c>
      <c r="G21" s="99"/>
      <c r="H21" s="100"/>
      <c r="I21" s="101">
        <v>43004</v>
      </c>
      <c r="J21" s="102">
        <v>70</v>
      </c>
    </row>
    <row r="22" spans="1:15" x14ac:dyDescent="0.45">
      <c r="A22" s="96">
        <v>22</v>
      </c>
      <c r="B22" s="97" t="s">
        <v>262</v>
      </c>
      <c r="C22" s="98" t="s">
        <v>263</v>
      </c>
      <c r="D22" s="97" t="s">
        <v>264</v>
      </c>
      <c r="E22" s="97" t="s">
        <v>265</v>
      </c>
      <c r="F22" s="97" t="s">
        <v>266</v>
      </c>
      <c r="G22" s="99"/>
      <c r="H22" s="100"/>
      <c r="I22" s="101">
        <v>43131</v>
      </c>
      <c r="J22" s="102">
        <v>105</v>
      </c>
    </row>
    <row r="23" spans="1:15" x14ac:dyDescent="0.45">
      <c r="A23" s="96">
        <v>23</v>
      </c>
      <c r="B23" s="97" t="s">
        <v>219</v>
      </c>
      <c r="C23" s="98" t="s">
        <v>25</v>
      </c>
      <c r="D23" s="97" t="s">
        <v>307</v>
      </c>
      <c r="E23" s="97" t="s">
        <v>308</v>
      </c>
      <c r="F23" s="97" t="s">
        <v>309</v>
      </c>
      <c r="G23" s="99"/>
      <c r="H23" s="100"/>
      <c r="I23" s="101">
        <v>43131</v>
      </c>
      <c r="J23" s="102">
        <v>210</v>
      </c>
    </row>
    <row r="24" spans="1:15" x14ac:dyDescent="0.45">
      <c r="A24" s="96">
        <v>24</v>
      </c>
      <c r="B24" s="97" t="s">
        <v>200</v>
      </c>
      <c r="C24" s="98" t="s">
        <v>443</v>
      </c>
      <c r="D24" s="97" t="s">
        <v>71</v>
      </c>
      <c r="E24" s="97" t="s">
        <v>444</v>
      </c>
      <c r="F24" s="97" t="s">
        <v>72</v>
      </c>
      <c r="G24" s="99"/>
      <c r="H24" s="100"/>
      <c r="I24" s="101">
        <v>43130</v>
      </c>
      <c r="J24" s="102">
        <v>180</v>
      </c>
    </row>
    <row r="25" spans="1:15" x14ac:dyDescent="0.45">
      <c r="A25" s="96">
        <v>25</v>
      </c>
      <c r="B25" s="97" t="s">
        <v>222</v>
      </c>
      <c r="C25" s="98" t="s">
        <v>323</v>
      </c>
      <c r="D25" s="97" t="s">
        <v>324</v>
      </c>
      <c r="E25" s="97" t="s">
        <v>253</v>
      </c>
      <c r="F25" s="97" t="s">
        <v>32</v>
      </c>
      <c r="G25" s="99"/>
      <c r="H25" s="100"/>
      <c r="I25" s="101">
        <v>43131</v>
      </c>
      <c r="J25" s="102">
        <v>105</v>
      </c>
    </row>
    <row r="26" spans="1:15" x14ac:dyDescent="0.45">
      <c r="A26" s="96">
        <v>26</v>
      </c>
      <c r="B26" s="98" t="s">
        <v>219</v>
      </c>
      <c r="C26" s="98" t="s">
        <v>28</v>
      </c>
      <c r="D26" s="98" t="s">
        <v>13</v>
      </c>
      <c r="E26" s="98" t="s">
        <v>14</v>
      </c>
      <c r="F26" s="98" t="s">
        <v>15</v>
      </c>
      <c r="G26" s="99"/>
      <c r="H26" s="100"/>
      <c r="I26" s="101">
        <v>43122</v>
      </c>
      <c r="J26" s="102">
        <v>105</v>
      </c>
      <c r="K26" s="9"/>
    </row>
    <row r="27" spans="1:15" x14ac:dyDescent="0.45">
      <c r="A27" s="96">
        <v>27</v>
      </c>
      <c r="B27" s="97" t="s">
        <v>298</v>
      </c>
      <c r="C27" s="98" t="s">
        <v>532</v>
      </c>
      <c r="D27" s="97" t="s">
        <v>73</v>
      </c>
      <c r="E27" s="97" t="s">
        <v>533</v>
      </c>
      <c r="F27" s="97" t="s">
        <v>74</v>
      </c>
      <c r="G27" s="7"/>
      <c r="H27" s="7"/>
      <c r="I27" s="135">
        <v>43146</v>
      </c>
      <c r="J27" s="102">
        <v>125</v>
      </c>
    </row>
    <row r="28" spans="1:15" x14ac:dyDescent="0.45">
      <c r="A28" s="96">
        <v>28</v>
      </c>
      <c r="B28" s="97" t="s">
        <v>222</v>
      </c>
      <c r="C28" s="98" t="s">
        <v>491</v>
      </c>
      <c r="D28" s="97" t="s">
        <v>492</v>
      </c>
      <c r="E28" s="97" t="s">
        <v>441</v>
      </c>
      <c r="F28" s="97" t="s">
        <v>493</v>
      </c>
      <c r="G28" s="99"/>
      <c r="H28" s="100"/>
      <c r="I28" s="101">
        <v>43119</v>
      </c>
      <c r="J28" s="102">
        <v>35</v>
      </c>
    </row>
    <row r="29" spans="1:15" x14ac:dyDescent="0.45">
      <c r="A29" s="96">
        <v>29</v>
      </c>
      <c r="B29" s="97" t="s">
        <v>222</v>
      </c>
      <c r="C29" s="98" t="s">
        <v>333</v>
      </c>
      <c r="D29" s="103" t="s">
        <v>75</v>
      </c>
      <c r="E29" s="97" t="s">
        <v>334</v>
      </c>
      <c r="F29" s="97" t="s">
        <v>76</v>
      </c>
      <c r="G29" s="99"/>
      <c r="H29" s="100"/>
      <c r="I29" s="101">
        <v>43129</v>
      </c>
      <c r="J29" s="102">
        <v>105</v>
      </c>
    </row>
    <row r="30" spans="1:15" x14ac:dyDescent="0.45">
      <c r="A30" s="96">
        <v>30</v>
      </c>
      <c r="B30" s="97" t="s">
        <v>222</v>
      </c>
      <c r="C30" s="98" t="s">
        <v>223</v>
      </c>
      <c r="D30" s="97" t="s">
        <v>224</v>
      </c>
      <c r="E30" s="97" t="s">
        <v>225</v>
      </c>
      <c r="F30" s="97" t="s">
        <v>226</v>
      </c>
      <c r="G30" s="99"/>
      <c r="H30" s="100"/>
      <c r="I30" s="101">
        <v>43131</v>
      </c>
      <c r="J30" s="102">
        <v>105</v>
      </c>
    </row>
    <row r="31" spans="1:15" x14ac:dyDescent="0.45">
      <c r="A31" s="96">
        <v>31</v>
      </c>
      <c r="B31" s="97" t="s">
        <v>222</v>
      </c>
      <c r="C31" s="98" t="s">
        <v>296</v>
      </c>
      <c r="D31" s="103" t="s">
        <v>16</v>
      </c>
      <c r="E31" s="97" t="s">
        <v>297</v>
      </c>
      <c r="F31" s="97" t="s">
        <v>18</v>
      </c>
      <c r="G31" s="99"/>
      <c r="H31" s="100"/>
      <c r="I31" s="101">
        <v>43119</v>
      </c>
      <c r="J31" s="102">
        <v>210</v>
      </c>
    </row>
    <row r="32" spans="1:15" x14ac:dyDescent="0.45">
      <c r="A32" s="96">
        <v>32</v>
      </c>
      <c r="B32" s="97" t="s">
        <v>203</v>
      </c>
      <c r="C32" s="98" t="s">
        <v>335</v>
      </c>
      <c r="D32" s="103" t="s">
        <v>336</v>
      </c>
      <c r="E32" s="97" t="s">
        <v>337</v>
      </c>
      <c r="F32" s="97" t="s">
        <v>338</v>
      </c>
      <c r="G32" s="99"/>
      <c r="H32" s="100"/>
      <c r="I32" s="101">
        <v>43136</v>
      </c>
      <c r="J32" s="102">
        <v>105</v>
      </c>
    </row>
    <row r="33" spans="1:16" x14ac:dyDescent="0.45">
      <c r="A33" s="96">
        <v>33</v>
      </c>
      <c r="B33" s="97" t="s">
        <v>222</v>
      </c>
      <c r="C33" s="98" t="s">
        <v>509</v>
      </c>
      <c r="D33" s="97" t="s">
        <v>95</v>
      </c>
      <c r="E33" s="97" t="s">
        <v>510</v>
      </c>
      <c r="F33" s="97" t="s">
        <v>511</v>
      </c>
      <c r="G33" s="7"/>
      <c r="H33" s="7"/>
      <c r="I33" s="135">
        <v>43119</v>
      </c>
      <c r="J33" s="102">
        <v>105</v>
      </c>
    </row>
    <row r="34" spans="1:16" x14ac:dyDescent="0.45">
      <c r="A34" s="96">
        <v>34</v>
      </c>
      <c r="B34" s="97" t="s">
        <v>219</v>
      </c>
      <c r="C34" s="98" t="s">
        <v>330</v>
      </c>
      <c r="D34" s="97" t="s">
        <v>46</v>
      </c>
      <c r="E34" s="97" t="s">
        <v>331</v>
      </c>
      <c r="F34" s="97" t="s">
        <v>332</v>
      </c>
      <c r="G34" s="99"/>
      <c r="H34" s="100"/>
      <c r="I34" s="101">
        <v>43161</v>
      </c>
      <c r="J34" s="102">
        <v>105</v>
      </c>
    </row>
    <row r="35" spans="1:16" x14ac:dyDescent="0.45">
      <c r="A35" s="96">
        <v>35</v>
      </c>
      <c r="B35" s="98" t="s">
        <v>222</v>
      </c>
      <c r="C35" s="98" t="s">
        <v>201</v>
      </c>
      <c r="D35" s="98" t="s">
        <v>502</v>
      </c>
      <c r="E35" s="98" t="s">
        <v>503</v>
      </c>
      <c r="F35" s="105" t="s">
        <v>329</v>
      </c>
      <c r="G35" s="99"/>
      <c r="H35" s="100"/>
      <c r="I35" s="101">
        <v>43125</v>
      </c>
      <c r="J35" s="102">
        <v>70</v>
      </c>
    </row>
    <row r="36" spans="1:16" x14ac:dyDescent="0.45">
      <c r="A36" s="96">
        <v>36</v>
      </c>
      <c r="B36" s="98" t="s">
        <v>219</v>
      </c>
      <c r="C36" s="98" t="s">
        <v>355</v>
      </c>
      <c r="D36" s="105" t="s">
        <v>356</v>
      </c>
      <c r="E36" s="98" t="s">
        <v>357</v>
      </c>
      <c r="F36" s="98" t="s">
        <v>18</v>
      </c>
      <c r="G36" s="99"/>
      <c r="H36" s="100"/>
      <c r="I36" s="101">
        <v>43119</v>
      </c>
      <c r="J36" s="102">
        <v>105</v>
      </c>
    </row>
    <row r="37" spans="1:16" x14ac:dyDescent="0.45">
      <c r="A37" s="96">
        <v>37</v>
      </c>
      <c r="B37" s="97" t="s">
        <v>219</v>
      </c>
      <c r="C37" s="98" t="s">
        <v>339</v>
      </c>
      <c r="D37" s="97" t="s">
        <v>340</v>
      </c>
      <c r="E37" s="97" t="s">
        <v>341</v>
      </c>
      <c r="F37" s="97" t="s">
        <v>274</v>
      </c>
      <c r="G37" s="99"/>
      <c r="H37" s="100"/>
      <c r="I37" s="101">
        <v>43138</v>
      </c>
      <c r="J37" s="102">
        <v>210</v>
      </c>
      <c r="N37" s="4" t="s">
        <v>512</v>
      </c>
    </row>
    <row r="38" spans="1:16" x14ac:dyDescent="0.45">
      <c r="A38" s="96">
        <v>38</v>
      </c>
      <c r="B38" s="97" t="s">
        <v>219</v>
      </c>
      <c r="C38" s="98" t="s">
        <v>311</v>
      </c>
      <c r="D38" s="97" t="s">
        <v>312</v>
      </c>
      <c r="E38" s="97" t="s">
        <v>313</v>
      </c>
      <c r="F38" s="97" t="s">
        <v>314</v>
      </c>
      <c r="G38" s="99"/>
      <c r="H38" s="100"/>
      <c r="I38" s="101">
        <v>43007</v>
      </c>
      <c r="J38" s="102">
        <v>70</v>
      </c>
    </row>
    <row r="39" spans="1:16" x14ac:dyDescent="0.45">
      <c r="A39" s="96">
        <v>39</v>
      </c>
      <c r="B39" s="97" t="s">
        <v>298</v>
      </c>
      <c r="C39" s="98" t="s">
        <v>299</v>
      </c>
      <c r="D39" s="97" t="s">
        <v>58</v>
      </c>
      <c r="E39" s="97" t="s">
        <v>300</v>
      </c>
      <c r="F39" s="97" t="s">
        <v>301</v>
      </c>
      <c r="G39" s="99"/>
      <c r="H39" s="100"/>
      <c r="I39" s="101">
        <v>43119</v>
      </c>
      <c r="J39" s="102">
        <v>105</v>
      </c>
      <c r="N39" s="4">
        <v>35</v>
      </c>
      <c r="O39" s="137" t="s">
        <v>513</v>
      </c>
    </row>
    <row r="40" spans="1:16" x14ac:dyDescent="0.45">
      <c r="A40" s="96">
        <v>40</v>
      </c>
      <c r="B40" s="97" t="s">
        <v>219</v>
      </c>
      <c r="C40" s="98" t="s">
        <v>45</v>
      </c>
      <c r="D40" s="97" t="s">
        <v>220</v>
      </c>
      <c r="E40" s="97" t="s">
        <v>211</v>
      </c>
      <c r="F40" s="97" t="s">
        <v>221</v>
      </c>
      <c r="G40" s="99"/>
      <c r="H40" s="100"/>
      <c r="I40" s="101">
        <v>43014</v>
      </c>
      <c r="J40" s="102">
        <v>70</v>
      </c>
      <c r="N40" s="4">
        <v>105</v>
      </c>
      <c r="O40" s="137" t="s">
        <v>514</v>
      </c>
    </row>
    <row r="41" spans="1:16" x14ac:dyDescent="0.45">
      <c r="A41" s="96">
        <v>41</v>
      </c>
      <c r="B41" s="97" t="s">
        <v>203</v>
      </c>
      <c r="C41" s="98" t="s">
        <v>351</v>
      </c>
      <c r="D41" s="103" t="s">
        <v>20</v>
      </c>
      <c r="E41" s="97" t="s">
        <v>22</v>
      </c>
      <c r="F41" s="97" t="s">
        <v>23</v>
      </c>
      <c r="G41" s="99"/>
      <c r="H41" s="100"/>
      <c r="I41" s="101">
        <v>43119</v>
      </c>
      <c r="J41" s="102">
        <v>210</v>
      </c>
      <c r="N41" s="4">
        <f>70+70</f>
        <v>140</v>
      </c>
      <c r="O41" s="137" t="s">
        <v>515</v>
      </c>
    </row>
    <row r="42" spans="1:16" x14ac:dyDescent="0.45">
      <c r="A42" s="96">
        <v>42</v>
      </c>
      <c r="B42" s="97" t="s">
        <v>298</v>
      </c>
      <c r="C42" s="98" t="s">
        <v>495</v>
      </c>
      <c r="D42" s="103" t="s">
        <v>24</v>
      </c>
      <c r="E42" s="97" t="s">
        <v>496</v>
      </c>
      <c r="F42" s="97" t="s">
        <v>76</v>
      </c>
      <c r="G42" s="99"/>
      <c r="H42" s="100"/>
      <c r="I42" s="104">
        <v>43130</v>
      </c>
      <c r="J42" s="102">
        <v>70</v>
      </c>
      <c r="N42" s="4">
        <v>210</v>
      </c>
      <c r="O42" s="137" t="s">
        <v>12</v>
      </c>
    </row>
    <row r="43" spans="1:16" x14ac:dyDescent="0.45">
      <c r="A43" s="96">
        <v>43</v>
      </c>
      <c r="B43" s="97" t="s">
        <v>262</v>
      </c>
      <c r="C43" s="98" t="s">
        <v>392</v>
      </c>
      <c r="D43" s="97" t="s">
        <v>24</v>
      </c>
      <c r="E43" s="97" t="s">
        <v>393</v>
      </c>
      <c r="F43" s="97" t="s">
        <v>26</v>
      </c>
      <c r="G43" s="99"/>
      <c r="H43" s="100"/>
      <c r="I43" s="101">
        <v>43132</v>
      </c>
      <c r="J43" s="102">
        <v>105</v>
      </c>
      <c r="N43" s="4">
        <v>105</v>
      </c>
      <c r="O43" s="137" t="s">
        <v>58</v>
      </c>
    </row>
    <row r="44" spans="1:16" x14ac:dyDescent="0.45">
      <c r="A44" s="96">
        <v>44</v>
      </c>
      <c r="B44" s="97" t="s">
        <v>242</v>
      </c>
      <c r="C44" s="98" t="s">
        <v>481</v>
      </c>
      <c r="D44" s="97" t="s">
        <v>482</v>
      </c>
      <c r="E44" s="97" t="s">
        <v>483</v>
      </c>
      <c r="F44" s="97" t="s">
        <v>70</v>
      </c>
      <c r="G44" s="99"/>
      <c r="H44" s="100"/>
      <c r="I44" s="101">
        <v>43119</v>
      </c>
      <c r="J44" s="102">
        <v>35</v>
      </c>
    </row>
    <row r="45" spans="1:16" x14ac:dyDescent="0.45">
      <c r="A45" s="96">
        <v>45</v>
      </c>
      <c r="B45" s="97" t="s">
        <v>219</v>
      </c>
      <c r="C45" s="98" t="s">
        <v>45</v>
      </c>
      <c r="D45" s="97" t="s">
        <v>315</v>
      </c>
      <c r="E45" s="97" t="s">
        <v>316</v>
      </c>
      <c r="F45" s="97" t="s">
        <v>266</v>
      </c>
      <c r="G45" s="99"/>
      <c r="H45" s="100"/>
      <c r="I45" s="101">
        <v>43130</v>
      </c>
      <c r="J45" s="102">
        <v>70</v>
      </c>
      <c r="N45" s="4">
        <v>70</v>
      </c>
      <c r="O45" s="4" t="s">
        <v>517</v>
      </c>
    </row>
    <row r="46" spans="1:16" x14ac:dyDescent="0.45">
      <c r="A46" s="96">
        <v>46</v>
      </c>
      <c r="B46" s="97" t="s">
        <v>203</v>
      </c>
      <c r="C46" s="98" t="s">
        <v>21</v>
      </c>
      <c r="D46" s="97" t="s">
        <v>342</v>
      </c>
      <c r="E46" s="97" t="s">
        <v>343</v>
      </c>
      <c r="F46" s="97" t="s">
        <v>11</v>
      </c>
      <c r="G46" s="99"/>
      <c r="H46" s="100"/>
      <c r="I46" s="101">
        <v>43144</v>
      </c>
      <c r="J46" s="102">
        <v>175</v>
      </c>
      <c r="N46" s="4">
        <v>105</v>
      </c>
      <c r="O46" s="4" t="s">
        <v>516</v>
      </c>
      <c r="P46" t="s">
        <v>545</v>
      </c>
    </row>
    <row r="47" spans="1:16" x14ac:dyDescent="0.45">
      <c r="A47" s="96">
        <v>47</v>
      </c>
      <c r="B47" s="97" t="s">
        <v>242</v>
      </c>
      <c r="C47" s="98" t="s">
        <v>472</v>
      </c>
      <c r="D47" s="97" t="s">
        <v>473</v>
      </c>
      <c r="E47" s="97" t="s">
        <v>430</v>
      </c>
      <c r="F47" s="97" t="s">
        <v>474</v>
      </c>
      <c r="G47" s="99"/>
      <c r="H47" s="100"/>
      <c r="I47" s="101">
        <v>43119</v>
      </c>
      <c r="J47" s="102">
        <v>85</v>
      </c>
      <c r="N47" s="4">
        <v>105</v>
      </c>
      <c r="O47" s="4" t="s">
        <v>518</v>
      </c>
    </row>
    <row r="48" spans="1:16" x14ac:dyDescent="0.45">
      <c r="A48" s="96">
        <v>48</v>
      </c>
      <c r="B48" s="97" t="s">
        <v>203</v>
      </c>
      <c r="C48" s="98" t="s">
        <v>276</v>
      </c>
      <c r="D48" s="97" t="s">
        <v>277</v>
      </c>
      <c r="E48" s="97" t="s">
        <v>278</v>
      </c>
      <c r="F48" s="97" t="s">
        <v>34</v>
      </c>
      <c r="G48" s="99"/>
      <c r="H48" s="100"/>
      <c r="I48" s="101">
        <v>43005</v>
      </c>
      <c r="J48" s="102">
        <v>140</v>
      </c>
      <c r="N48" s="4">
        <v>70</v>
      </c>
      <c r="O48" s="4" t="s">
        <v>99</v>
      </c>
      <c r="P48" t="s">
        <v>545</v>
      </c>
    </row>
    <row r="49" spans="1:16" x14ac:dyDescent="0.45">
      <c r="A49" s="96">
        <v>49</v>
      </c>
      <c r="B49" s="98" t="s">
        <v>203</v>
      </c>
      <c r="C49" s="98" t="s">
        <v>293</v>
      </c>
      <c r="D49" s="98" t="s">
        <v>67</v>
      </c>
      <c r="E49" s="98" t="s">
        <v>368</v>
      </c>
      <c r="F49" s="98" t="s">
        <v>8</v>
      </c>
      <c r="G49" s="99"/>
      <c r="H49" s="100"/>
      <c r="I49" s="101">
        <v>43005</v>
      </c>
      <c r="J49" s="102">
        <v>70</v>
      </c>
      <c r="M49" s="9"/>
      <c r="N49" s="4">
        <v>90</v>
      </c>
      <c r="O49" s="4" t="s">
        <v>519</v>
      </c>
      <c r="P49" t="s">
        <v>545</v>
      </c>
    </row>
    <row r="50" spans="1:16" x14ac:dyDescent="0.45">
      <c r="A50" s="96">
        <v>50</v>
      </c>
      <c r="B50" s="97" t="s">
        <v>219</v>
      </c>
      <c r="C50" s="98" t="s">
        <v>41</v>
      </c>
      <c r="D50" s="97" t="s">
        <v>77</v>
      </c>
      <c r="E50" s="97" t="s">
        <v>428</v>
      </c>
      <c r="F50" s="97" t="s">
        <v>18</v>
      </c>
      <c r="G50" s="99"/>
      <c r="H50" s="100"/>
      <c r="I50" s="101">
        <v>43133</v>
      </c>
      <c r="J50" s="102">
        <v>315</v>
      </c>
      <c r="N50" s="4">
        <v>90</v>
      </c>
      <c r="O50" s="4" t="s">
        <v>59</v>
      </c>
      <c r="P50" t="s">
        <v>100</v>
      </c>
    </row>
    <row r="51" spans="1:16" x14ac:dyDescent="0.45">
      <c r="A51" s="96">
        <v>51</v>
      </c>
      <c r="B51" s="97" t="s">
        <v>200</v>
      </c>
      <c r="C51" s="98" t="s">
        <v>296</v>
      </c>
      <c r="D51" s="97" t="s">
        <v>60</v>
      </c>
      <c r="E51" s="97" t="s">
        <v>295</v>
      </c>
      <c r="F51" s="97" t="s">
        <v>61</v>
      </c>
      <c r="G51" s="99"/>
      <c r="H51" s="100"/>
      <c r="I51" s="101">
        <v>43119</v>
      </c>
      <c r="J51" s="102">
        <v>105</v>
      </c>
      <c r="N51" s="4">
        <v>35</v>
      </c>
      <c r="O51" s="4" t="s">
        <v>520</v>
      </c>
      <c r="P51" t="s">
        <v>100</v>
      </c>
    </row>
    <row r="52" spans="1:16" x14ac:dyDescent="0.45">
      <c r="A52" s="96">
        <v>52</v>
      </c>
      <c r="B52" s="97" t="s">
        <v>219</v>
      </c>
      <c r="C52" s="98" t="s">
        <v>487</v>
      </c>
      <c r="D52" s="97" t="s">
        <v>488</v>
      </c>
      <c r="E52" s="97" t="s">
        <v>489</v>
      </c>
      <c r="F52" s="97" t="s">
        <v>490</v>
      </c>
      <c r="G52" s="99"/>
      <c r="H52" s="100"/>
      <c r="I52" s="101">
        <v>43123</v>
      </c>
      <c r="J52" s="102">
        <v>70</v>
      </c>
      <c r="N52" s="4">
        <v>105</v>
      </c>
      <c r="O52" s="4" t="s">
        <v>521</v>
      </c>
      <c r="P52" t="s">
        <v>545</v>
      </c>
    </row>
    <row r="53" spans="1:16" x14ac:dyDescent="0.45">
      <c r="A53" s="96">
        <v>53</v>
      </c>
      <c r="B53" s="97" t="s">
        <v>219</v>
      </c>
      <c r="C53" s="98" t="s">
        <v>97</v>
      </c>
      <c r="D53" s="97" t="s">
        <v>344</v>
      </c>
      <c r="E53" s="97" t="s">
        <v>345</v>
      </c>
      <c r="F53" s="97" t="s">
        <v>261</v>
      </c>
      <c r="G53" s="99"/>
      <c r="H53" s="100"/>
      <c r="I53" s="101">
        <v>43131</v>
      </c>
      <c r="J53" s="102">
        <v>210</v>
      </c>
      <c r="N53" s="4">
        <v>105</v>
      </c>
      <c r="O53" s="4" t="s">
        <v>546</v>
      </c>
    </row>
    <row r="54" spans="1:16" x14ac:dyDescent="0.45">
      <c r="A54" s="96">
        <v>54</v>
      </c>
      <c r="B54" s="97" t="s">
        <v>200</v>
      </c>
      <c r="C54" s="98" t="s">
        <v>445</v>
      </c>
      <c r="D54" s="97" t="s">
        <v>446</v>
      </c>
      <c r="E54" s="97" t="s">
        <v>504</v>
      </c>
      <c r="F54" s="97" t="s">
        <v>404</v>
      </c>
      <c r="G54" s="99"/>
      <c r="H54" s="100"/>
      <c r="I54" s="101">
        <v>43126</v>
      </c>
      <c r="J54" s="102">
        <v>105</v>
      </c>
      <c r="N54" s="4">
        <v>105</v>
      </c>
      <c r="O54" s="4" t="s">
        <v>79</v>
      </c>
      <c r="P54" t="s">
        <v>545</v>
      </c>
    </row>
    <row r="55" spans="1:16" x14ac:dyDescent="0.45">
      <c r="A55" s="96">
        <v>55</v>
      </c>
      <c r="B55" s="97" t="s">
        <v>219</v>
      </c>
      <c r="C55" s="98" t="s">
        <v>45</v>
      </c>
      <c r="D55" s="97" t="s">
        <v>80</v>
      </c>
      <c r="E55" s="106" t="s">
        <v>370</v>
      </c>
      <c r="F55" s="97" t="s">
        <v>81</v>
      </c>
      <c r="G55" s="107"/>
      <c r="H55" s="107"/>
      <c r="I55" s="104">
        <v>43130</v>
      </c>
      <c r="J55" s="102">
        <v>105</v>
      </c>
      <c r="N55" s="4">
        <v>105</v>
      </c>
      <c r="O55" s="4" t="s">
        <v>522</v>
      </c>
      <c r="P55" t="s">
        <v>545</v>
      </c>
    </row>
    <row r="56" spans="1:16" x14ac:dyDescent="0.45">
      <c r="A56" s="96">
        <v>56</v>
      </c>
      <c r="B56" s="97" t="s">
        <v>222</v>
      </c>
      <c r="C56" s="98" t="s">
        <v>323</v>
      </c>
      <c r="D56" s="97" t="s">
        <v>528</v>
      </c>
      <c r="E56" s="97" t="s">
        <v>529</v>
      </c>
      <c r="F56" s="97" t="s">
        <v>530</v>
      </c>
      <c r="G56" s="7"/>
      <c r="H56" s="7"/>
      <c r="I56" s="135">
        <v>43150</v>
      </c>
      <c r="J56" s="102">
        <v>195</v>
      </c>
      <c r="N56" s="4">
        <v>35</v>
      </c>
      <c r="O56" s="4" t="s">
        <v>327</v>
      </c>
      <c r="P56" t="s">
        <v>545</v>
      </c>
    </row>
    <row r="57" spans="1:16" x14ac:dyDescent="0.45">
      <c r="A57" s="96">
        <v>57</v>
      </c>
      <c r="B57" s="97" t="s">
        <v>200</v>
      </c>
      <c r="C57" s="98" t="s">
        <v>451</v>
      </c>
      <c r="D57" s="97" t="s">
        <v>27</v>
      </c>
      <c r="E57" s="97" t="s">
        <v>452</v>
      </c>
      <c r="F57" s="97" t="s">
        <v>453</v>
      </c>
      <c r="G57" s="99"/>
      <c r="H57" s="100"/>
      <c r="I57" s="101">
        <v>43131</v>
      </c>
      <c r="J57" s="102">
        <v>190</v>
      </c>
      <c r="N57" s="4">
        <v>35</v>
      </c>
      <c r="O57" s="4" t="s">
        <v>523</v>
      </c>
      <c r="P57" t="s">
        <v>545</v>
      </c>
    </row>
    <row r="58" spans="1:16" x14ac:dyDescent="0.45">
      <c r="A58" s="96">
        <v>58</v>
      </c>
      <c r="B58" s="97" t="s">
        <v>219</v>
      </c>
      <c r="C58" s="98" t="s">
        <v>525</v>
      </c>
      <c r="D58" s="97" t="s">
        <v>526</v>
      </c>
      <c r="E58" s="97" t="s">
        <v>527</v>
      </c>
      <c r="F58" s="97" t="s">
        <v>241</v>
      </c>
      <c r="G58" s="7"/>
      <c r="H58" s="7"/>
      <c r="I58" s="135">
        <v>43119</v>
      </c>
      <c r="J58" s="102">
        <v>35</v>
      </c>
    </row>
    <row r="59" spans="1:16" x14ac:dyDescent="0.45">
      <c r="A59" s="96">
        <v>59</v>
      </c>
      <c r="B59" s="97" t="s">
        <v>200</v>
      </c>
      <c r="C59" s="98" t="s">
        <v>380</v>
      </c>
      <c r="D59" s="97" t="s">
        <v>381</v>
      </c>
      <c r="E59" s="97" t="s">
        <v>494</v>
      </c>
      <c r="F59" s="97" t="s">
        <v>64</v>
      </c>
      <c r="G59" s="99"/>
      <c r="H59" s="100"/>
      <c r="I59" s="101">
        <v>42853</v>
      </c>
      <c r="J59" s="102">
        <v>35</v>
      </c>
      <c r="N59" s="4">
        <f>SUM(N39:N58)</f>
        <v>1650</v>
      </c>
    </row>
    <row r="60" spans="1:16" x14ac:dyDescent="0.45">
      <c r="A60" s="96">
        <v>60</v>
      </c>
      <c r="B60" s="97" t="s">
        <v>203</v>
      </c>
      <c r="C60" s="98" t="s">
        <v>325</v>
      </c>
      <c r="D60" s="97" t="s">
        <v>29</v>
      </c>
      <c r="E60" s="97" t="s">
        <v>326</v>
      </c>
      <c r="F60" s="97" t="s">
        <v>30</v>
      </c>
      <c r="G60" s="99"/>
      <c r="H60" s="100"/>
      <c r="I60" s="101">
        <v>43125</v>
      </c>
      <c r="J60" s="102">
        <v>70</v>
      </c>
    </row>
    <row r="61" spans="1:16" x14ac:dyDescent="0.45">
      <c r="A61" s="96">
        <v>61</v>
      </c>
      <c r="B61" s="97" t="s">
        <v>203</v>
      </c>
      <c r="C61" s="98" t="s">
        <v>275</v>
      </c>
      <c r="D61" s="97" t="s">
        <v>33</v>
      </c>
      <c r="E61" s="97" t="s">
        <v>238</v>
      </c>
      <c r="F61" s="97" t="s">
        <v>34</v>
      </c>
      <c r="G61" s="99"/>
      <c r="H61" s="100"/>
      <c r="I61" s="101">
        <v>43132</v>
      </c>
      <c r="J61" s="102">
        <v>105</v>
      </c>
    </row>
    <row r="62" spans="1:16" x14ac:dyDescent="0.45">
      <c r="A62" s="96">
        <v>62</v>
      </c>
      <c r="B62" s="97" t="s">
        <v>203</v>
      </c>
      <c r="C62" s="98" t="s">
        <v>204</v>
      </c>
      <c r="D62" s="97" t="s">
        <v>349</v>
      </c>
      <c r="E62" s="97" t="s">
        <v>350</v>
      </c>
      <c r="F62" s="97" t="s">
        <v>246</v>
      </c>
      <c r="G62" s="99"/>
      <c r="H62" s="100"/>
      <c r="I62" s="101">
        <v>43126</v>
      </c>
      <c r="J62" s="102">
        <v>105</v>
      </c>
    </row>
    <row r="63" spans="1:16" x14ac:dyDescent="0.45">
      <c r="A63" s="96">
        <v>63</v>
      </c>
      <c r="B63" s="97" t="s">
        <v>219</v>
      </c>
      <c r="C63" s="98" t="s">
        <v>366</v>
      </c>
      <c r="D63" s="97" t="s">
        <v>367</v>
      </c>
      <c r="E63" s="97" t="s">
        <v>368</v>
      </c>
      <c r="F63" s="97" t="s">
        <v>369</v>
      </c>
      <c r="G63" s="99"/>
      <c r="H63" s="100"/>
      <c r="I63" s="101">
        <v>42886</v>
      </c>
      <c r="J63" s="102">
        <v>105</v>
      </c>
    </row>
    <row r="64" spans="1:16" x14ac:dyDescent="0.45">
      <c r="A64" s="96">
        <v>64</v>
      </c>
      <c r="B64" s="97" t="s">
        <v>203</v>
      </c>
      <c r="C64" s="98" t="s">
        <v>384</v>
      </c>
      <c r="D64" s="97" t="s">
        <v>82</v>
      </c>
      <c r="E64" s="106" t="s">
        <v>385</v>
      </c>
      <c r="F64" s="97" t="s">
        <v>386</v>
      </c>
      <c r="G64" s="107"/>
      <c r="H64" s="107"/>
      <c r="I64" s="104">
        <v>43130</v>
      </c>
      <c r="J64" s="102">
        <v>175</v>
      </c>
    </row>
    <row r="65" spans="1:10" x14ac:dyDescent="0.45">
      <c r="A65" s="96">
        <v>65</v>
      </c>
      <c r="B65" s="97" t="s">
        <v>222</v>
      </c>
      <c r="C65" s="98" t="s">
        <v>325</v>
      </c>
      <c r="D65" s="97" t="s">
        <v>471</v>
      </c>
      <c r="E65" s="97" t="s">
        <v>54</v>
      </c>
      <c r="F65" s="97" t="s">
        <v>55</v>
      </c>
      <c r="G65" s="99"/>
      <c r="H65" s="100"/>
      <c r="I65" s="101">
        <v>43119</v>
      </c>
      <c r="J65" s="102">
        <v>105</v>
      </c>
    </row>
    <row r="66" spans="1:10" x14ac:dyDescent="0.45">
      <c r="A66" s="96">
        <v>66</v>
      </c>
      <c r="B66" s="97" t="s">
        <v>219</v>
      </c>
      <c r="C66" s="98" t="s">
        <v>45</v>
      </c>
      <c r="D66" s="103" t="s">
        <v>416</v>
      </c>
      <c r="E66" s="97" t="s">
        <v>345</v>
      </c>
      <c r="F66" s="97" t="s">
        <v>417</v>
      </c>
      <c r="G66" s="99"/>
      <c r="H66" s="100"/>
      <c r="I66" s="101">
        <v>43007</v>
      </c>
      <c r="J66" s="102">
        <v>70</v>
      </c>
    </row>
    <row r="67" spans="1:10" x14ac:dyDescent="0.45">
      <c r="A67" s="96">
        <v>67</v>
      </c>
      <c r="B67" s="97" t="s">
        <v>219</v>
      </c>
      <c r="C67" s="98" t="s">
        <v>235</v>
      </c>
      <c r="D67" s="97" t="s">
        <v>35</v>
      </c>
      <c r="E67" s="97" t="s">
        <v>36</v>
      </c>
      <c r="F67" s="97" t="s">
        <v>37</v>
      </c>
      <c r="G67" s="99"/>
      <c r="H67" s="100"/>
      <c r="I67" s="101">
        <v>43131</v>
      </c>
      <c r="J67" s="102">
        <v>105</v>
      </c>
    </row>
    <row r="68" spans="1:10" x14ac:dyDescent="0.45">
      <c r="A68" s="96">
        <v>68</v>
      </c>
      <c r="B68" s="97" t="s">
        <v>203</v>
      </c>
      <c r="C68" s="98" t="s">
        <v>358</v>
      </c>
      <c r="D68" s="97" t="s">
        <v>359</v>
      </c>
      <c r="E68" s="97" t="s">
        <v>253</v>
      </c>
      <c r="F68" s="97" t="s">
        <v>360</v>
      </c>
      <c r="G68" s="99"/>
      <c r="H68" s="100"/>
      <c r="I68" s="101">
        <v>43059</v>
      </c>
      <c r="J68" s="102">
        <v>210</v>
      </c>
    </row>
    <row r="69" spans="1:10" x14ac:dyDescent="0.45">
      <c r="A69" s="96">
        <v>69</v>
      </c>
      <c r="B69" s="97" t="s">
        <v>302</v>
      </c>
      <c r="C69" s="98" t="s">
        <v>303</v>
      </c>
      <c r="D69" s="97" t="s">
        <v>304</v>
      </c>
      <c r="E69" s="97" t="s">
        <v>305</v>
      </c>
      <c r="F69" s="97" t="s">
        <v>306</v>
      </c>
      <c r="G69" s="99"/>
      <c r="H69" s="100"/>
      <c r="I69" s="101">
        <v>43164</v>
      </c>
      <c r="J69" s="102">
        <v>105</v>
      </c>
    </row>
    <row r="70" spans="1:10" x14ac:dyDescent="0.45">
      <c r="A70" s="96">
        <v>70</v>
      </c>
      <c r="B70" s="97" t="s">
        <v>302</v>
      </c>
      <c r="C70" s="98" t="s">
        <v>352</v>
      </c>
      <c r="D70" s="97" t="s">
        <v>353</v>
      </c>
      <c r="E70" s="97" t="s">
        <v>354</v>
      </c>
      <c r="F70" s="97" t="s">
        <v>70</v>
      </c>
      <c r="G70" s="99"/>
      <c r="H70" s="100"/>
      <c r="I70" s="101">
        <v>43133</v>
      </c>
      <c r="J70" s="102">
        <v>105</v>
      </c>
    </row>
    <row r="71" spans="1:10" x14ac:dyDescent="0.45">
      <c r="A71" s="96">
        <v>71</v>
      </c>
      <c r="B71" s="97" t="s">
        <v>203</v>
      </c>
      <c r="C71" s="98" t="s">
        <v>279</v>
      </c>
      <c r="D71" s="97" t="s">
        <v>280</v>
      </c>
      <c r="E71" s="97" t="s">
        <v>281</v>
      </c>
      <c r="F71" s="97" t="s">
        <v>282</v>
      </c>
      <c r="G71" s="99"/>
      <c r="H71" s="100"/>
      <c r="I71" s="101">
        <v>42989</v>
      </c>
      <c r="J71" s="102">
        <v>105</v>
      </c>
    </row>
    <row r="72" spans="1:10" x14ac:dyDescent="0.45">
      <c r="A72" s="96">
        <v>72</v>
      </c>
      <c r="B72" s="97" t="s">
        <v>262</v>
      </c>
      <c r="C72" s="98" t="s">
        <v>333</v>
      </c>
      <c r="D72" s="97" t="s">
        <v>371</v>
      </c>
      <c r="E72" s="97" t="s">
        <v>372</v>
      </c>
      <c r="F72" s="97" t="s">
        <v>34</v>
      </c>
      <c r="G72" s="99"/>
      <c r="H72" s="100"/>
      <c r="I72" s="101">
        <v>43146</v>
      </c>
      <c r="J72" s="102">
        <v>105</v>
      </c>
    </row>
    <row r="73" spans="1:10" x14ac:dyDescent="0.45">
      <c r="A73" s="96">
        <v>73</v>
      </c>
      <c r="B73" s="97" t="s">
        <v>219</v>
      </c>
      <c r="C73" s="98" t="s">
        <v>339</v>
      </c>
      <c r="D73" s="97" t="s">
        <v>364</v>
      </c>
      <c r="E73" s="97" t="s">
        <v>365</v>
      </c>
      <c r="F73" s="97" t="s">
        <v>218</v>
      </c>
      <c r="G73" s="99"/>
      <c r="H73" s="100"/>
      <c r="I73" s="101">
        <v>42860</v>
      </c>
      <c r="J73" s="102">
        <v>70</v>
      </c>
    </row>
    <row r="74" spans="1:10" x14ac:dyDescent="0.45">
      <c r="A74" s="96">
        <v>74</v>
      </c>
      <c r="B74" s="107" t="s">
        <v>200</v>
      </c>
      <c r="C74" s="107" t="s">
        <v>391</v>
      </c>
      <c r="D74" s="107" t="s">
        <v>83</v>
      </c>
      <c r="E74" s="106" t="s">
        <v>84</v>
      </c>
      <c r="F74" s="107" t="s">
        <v>85</v>
      </c>
      <c r="G74" s="107"/>
      <c r="H74" s="107"/>
      <c r="I74" s="104">
        <v>43161</v>
      </c>
      <c r="J74" s="131">
        <v>105</v>
      </c>
    </row>
    <row r="75" spans="1:10" x14ac:dyDescent="0.45">
      <c r="A75" s="96">
        <v>75</v>
      </c>
      <c r="B75" s="98" t="s">
        <v>219</v>
      </c>
      <c r="C75" s="98" t="s">
        <v>45</v>
      </c>
      <c r="D75" s="98" t="s">
        <v>239</v>
      </c>
      <c r="E75" s="98" t="s">
        <v>240</v>
      </c>
      <c r="F75" s="98" t="s">
        <v>241</v>
      </c>
      <c r="G75" s="99"/>
      <c r="H75" s="100"/>
      <c r="I75" s="101">
        <v>42857</v>
      </c>
      <c r="J75" s="102">
        <v>35</v>
      </c>
    </row>
    <row r="76" spans="1:10" x14ac:dyDescent="0.45">
      <c r="A76" s="96">
        <v>76</v>
      </c>
      <c r="B76" s="97" t="s">
        <v>242</v>
      </c>
      <c r="C76" s="98" t="s">
        <v>498</v>
      </c>
      <c r="D76" s="97" t="s">
        <v>499</v>
      </c>
      <c r="E76" s="97" t="s">
        <v>500</v>
      </c>
      <c r="F76" s="97" t="s">
        <v>501</v>
      </c>
      <c r="G76" s="99"/>
      <c r="H76" s="100"/>
      <c r="I76" s="101">
        <v>42998</v>
      </c>
      <c r="J76" s="102">
        <v>70</v>
      </c>
    </row>
    <row r="77" spans="1:10" x14ac:dyDescent="0.45">
      <c r="A77" s="96">
        <v>77</v>
      </c>
      <c r="B77" s="97" t="s">
        <v>219</v>
      </c>
      <c r="C77" s="98" t="s">
        <v>387</v>
      </c>
      <c r="D77" s="97" t="s">
        <v>388</v>
      </c>
      <c r="E77" s="97" t="s">
        <v>389</v>
      </c>
      <c r="F77" s="97" t="s">
        <v>390</v>
      </c>
      <c r="G77" s="99"/>
      <c r="H77" s="100"/>
      <c r="I77" s="101">
        <v>43131</v>
      </c>
      <c r="J77" s="102">
        <v>175</v>
      </c>
    </row>
    <row r="78" spans="1:10" x14ac:dyDescent="0.45">
      <c r="A78" s="96">
        <v>78</v>
      </c>
      <c r="B78" s="97" t="s">
        <v>200</v>
      </c>
      <c r="C78" s="98" t="s">
        <v>252</v>
      </c>
      <c r="D78" s="97" t="s">
        <v>31</v>
      </c>
      <c r="E78" s="97" t="s">
        <v>253</v>
      </c>
      <c r="F78" s="97" t="s">
        <v>32</v>
      </c>
      <c r="G78" s="99"/>
      <c r="H78" s="100"/>
      <c r="I78" s="101">
        <v>43131</v>
      </c>
      <c r="J78" s="102">
        <v>105</v>
      </c>
    </row>
    <row r="79" spans="1:10" x14ac:dyDescent="0.45">
      <c r="A79" s="96">
        <v>79</v>
      </c>
      <c r="B79" s="97" t="s">
        <v>219</v>
      </c>
      <c r="C79" s="98" t="s">
        <v>25</v>
      </c>
      <c r="D79" s="97" t="s">
        <v>250</v>
      </c>
      <c r="E79" s="97" t="s">
        <v>251</v>
      </c>
      <c r="F79" s="97" t="s">
        <v>207</v>
      </c>
      <c r="G79" s="99"/>
      <c r="H79" s="100"/>
      <c r="I79" s="101">
        <v>42857</v>
      </c>
      <c r="J79" s="102">
        <v>35</v>
      </c>
    </row>
    <row r="80" spans="1:10" x14ac:dyDescent="0.45">
      <c r="A80" s="96">
        <v>80</v>
      </c>
      <c r="B80" s="97" t="s">
        <v>219</v>
      </c>
      <c r="C80" s="98" t="s">
        <v>46</v>
      </c>
      <c r="D80" s="97" t="s">
        <v>247</v>
      </c>
      <c r="E80" s="97" t="s">
        <v>248</v>
      </c>
      <c r="F80" s="97" t="s">
        <v>249</v>
      </c>
      <c r="G80" s="99"/>
      <c r="H80" s="100"/>
      <c r="I80" s="101">
        <v>43131</v>
      </c>
      <c r="J80" s="102">
        <v>105</v>
      </c>
    </row>
    <row r="81" spans="1:12" x14ac:dyDescent="0.45">
      <c r="A81" s="96">
        <v>81</v>
      </c>
      <c r="B81" s="97" t="s">
        <v>200</v>
      </c>
      <c r="C81" s="98" t="s">
        <v>296</v>
      </c>
      <c r="D81" s="97" t="s">
        <v>38</v>
      </c>
      <c r="E81" s="97" t="s">
        <v>455</v>
      </c>
      <c r="F81" s="97" t="s">
        <v>456</v>
      </c>
      <c r="G81" s="99"/>
      <c r="H81" s="100"/>
      <c r="I81" s="101">
        <v>43129</v>
      </c>
      <c r="J81" s="102">
        <v>105</v>
      </c>
    </row>
    <row r="82" spans="1:12" x14ac:dyDescent="0.45">
      <c r="A82" s="96">
        <v>82</v>
      </c>
      <c r="B82" s="97" t="s">
        <v>208</v>
      </c>
      <c r="C82" s="98" t="s">
        <v>204</v>
      </c>
      <c r="D82" s="97" t="s">
        <v>454</v>
      </c>
      <c r="E82" s="97" t="s">
        <v>406</v>
      </c>
      <c r="F82" s="97" t="s">
        <v>114</v>
      </c>
      <c r="G82" s="99"/>
      <c r="H82" s="100"/>
      <c r="I82" s="101">
        <v>43126</v>
      </c>
      <c r="J82" s="102">
        <v>105</v>
      </c>
    </row>
    <row r="83" spans="1:12" x14ac:dyDescent="0.45">
      <c r="A83" s="96">
        <v>83</v>
      </c>
      <c r="B83" s="97" t="s">
        <v>298</v>
      </c>
      <c r="C83" s="98" t="s">
        <v>254</v>
      </c>
      <c r="D83" s="97" t="s">
        <v>405</v>
      </c>
      <c r="E83" s="97" t="s">
        <v>406</v>
      </c>
      <c r="F83" s="97" t="s">
        <v>230</v>
      </c>
      <c r="G83" s="99"/>
      <c r="H83" s="100"/>
      <c r="I83" s="101">
        <v>42859</v>
      </c>
      <c r="J83" s="102">
        <v>35</v>
      </c>
    </row>
    <row r="84" spans="1:12" x14ac:dyDescent="0.45">
      <c r="A84" s="96">
        <v>84</v>
      </c>
      <c r="B84" s="97" t="s">
        <v>219</v>
      </c>
      <c r="C84" s="98" t="s">
        <v>235</v>
      </c>
      <c r="D84" s="97" t="s">
        <v>429</v>
      </c>
      <c r="E84" s="97" t="s">
        <v>430</v>
      </c>
      <c r="F84" s="97" t="s">
        <v>431</v>
      </c>
      <c r="G84" s="99"/>
      <c r="H84" s="100"/>
      <c r="I84" s="101">
        <v>43004</v>
      </c>
      <c r="J84" s="102">
        <v>70</v>
      </c>
    </row>
    <row r="85" spans="1:12" x14ac:dyDescent="0.45">
      <c r="A85" s="96">
        <v>85</v>
      </c>
      <c r="B85" s="97" t="s">
        <v>203</v>
      </c>
      <c r="C85" s="98" t="s">
        <v>201</v>
      </c>
      <c r="D85" s="97" t="s">
        <v>457</v>
      </c>
      <c r="E85" s="97" t="s">
        <v>458</v>
      </c>
      <c r="F85" s="97" t="s">
        <v>459</v>
      </c>
      <c r="G85" s="99"/>
      <c r="H85" s="100"/>
      <c r="I85" s="101">
        <v>43025</v>
      </c>
      <c r="J85" s="102">
        <v>70</v>
      </c>
    </row>
    <row r="86" spans="1:12" x14ac:dyDescent="0.45">
      <c r="A86" s="96">
        <v>86</v>
      </c>
      <c r="B86" s="97" t="s">
        <v>219</v>
      </c>
      <c r="C86" s="98" t="s">
        <v>45</v>
      </c>
      <c r="D86" s="97" t="s">
        <v>422</v>
      </c>
      <c r="E86" s="97" t="s">
        <v>396</v>
      </c>
      <c r="F86" s="97" t="s">
        <v>423</v>
      </c>
      <c r="G86" s="99"/>
      <c r="H86" s="100"/>
      <c r="I86" s="101">
        <v>43131</v>
      </c>
      <c r="J86" s="102">
        <v>105</v>
      </c>
    </row>
    <row r="87" spans="1:12" x14ac:dyDescent="0.45">
      <c r="A87" s="96">
        <v>87</v>
      </c>
      <c r="B87" s="98" t="s">
        <v>203</v>
      </c>
      <c r="C87" s="98" t="s">
        <v>414</v>
      </c>
      <c r="D87" s="98" t="s">
        <v>40</v>
      </c>
      <c r="E87" s="98" t="s">
        <v>415</v>
      </c>
      <c r="F87" s="98" t="s">
        <v>397</v>
      </c>
      <c r="G87" s="99"/>
      <c r="H87" s="100"/>
      <c r="I87" s="101">
        <v>43126</v>
      </c>
      <c r="J87" s="102">
        <v>105</v>
      </c>
    </row>
    <row r="88" spans="1:12" x14ac:dyDescent="0.45">
      <c r="A88" s="96">
        <v>88</v>
      </c>
      <c r="B88" s="98" t="s">
        <v>203</v>
      </c>
      <c r="C88" s="98" t="s">
        <v>335</v>
      </c>
      <c r="D88" s="98" t="s">
        <v>42</v>
      </c>
      <c r="E88" s="98" t="s">
        <v>460</v>
      </c>
      <c r="F88" s="98" t="s">
        <v>43</v>
      </c>
      <c r="G88" s="99"/>
      <c r="H88" s="100"/>
      <c r="I88" s="101">
        <v>43146</v>
      </c>
      <c r="J88" s="102">
        <v>105</v>
      </c>
    </row>
    <row r="89" spans="1:12" x14ac:dyDescent="0.45">
      <c r="A89" s="96">
        <v>89</v>
      </c>
      <c r="B89" s="97" t="s">
        <v>203</v>
      </c>
      <c r="C89" s="98" t="s">
        <v>435</v>
      </c>
      <c r="D89" s="97" t="s">
        <v>86</v>
      </c>
      <c r="E89" s="97" t="s">
        <v>436</v>
      </c>
      <c r="F89" s="97" t="s">
        <v>437</v>
      </c>
      <c r="G89" s="99"/>
      <c r="H89" s="100"/>
      <c r="I89" s="101">
        <v>42991</v>
      </c>
      <c r="J89" s="102">
        <v>35</v>
      </c>
    </row>
    <row r="90" spans="1:12" x14ac:dyDescent="0.45">
      <c r="A90" s="96">
        <v>90</v>
      </c>
      <c r="B90" s="97" t="s">
        <v>222</v>
      </c>
      <c r="C90" s="98" t="s">
        <v>283</v>
      </c>
      <c r="D90" s="97" t="s">
        <v>284</v>
      </c>
      <c r="E90" s="97" t="s">
        <v>211</v>
      </c>
      <c r="F90" s="97" t="s">
        <v>285</v>
      </c>
      <c r="G90" s="99"/>
      <c r="H90" s="100"/>
      <c r="I90" s="101">
        <v>43005</v>
      </c>
      <c r="J90" s="102">
        <v>70</v>
      </c>
    </row>
    <row r="91" spans="1:12" x14ac:dyDescent="0.45">
      <c r="A91" s="96">
        <v>91</v>
      </c>
      <c r="B91" s="124" t="s">
        <v>242</v>
      </c>
      <c r="C91" s="124" t="s">
        <v>410</v>
      </c>
      <c r="D91" s="124" t="s">
        <v>411</v>
      </c>
      <c r="E91" s="127" t="s">
        <v>412</v>
      </c>
      <c r="F91" s="124" t="s">
        <v>114</v>
      </c>
      <c r="G91" s="120"/>
      <c r="H91" s="120"/>
      <c r="I91" s="111">
        <v>43132</v>
      </c>
      <c r="J91" s="132">
        <v>140</v>
      </c>
    </row>
    <row r="92" spans="1:12" x14ac:dyDescent="0.45">
      <c r="A92" s="96">
        <v>92</v>
      </c>
      <c r="B92" s="108" t="s">
        <v>203</v>
      </c>
      <c r="C92" s="109" t="s">
        <v>407</v>
      </c>
      <c r="D92" s="108" t="s">
        <v>408</v>
      </c>
      <c r="E92" s="108" t="s">
        <v>409</v>
      </c>
      <c r="F92" s="108" t="s">
        <v>114</v>
      </c>
      <c r="G92" s="128"/>
      <c r="H92" s="129"/>
      <c r="I92" s="130">
        <v>42853</v>
      </c>
      <c r="J92" s="112">
        <v>35</v>
      </c>
    </row>
    <row r="93" spans="1:12" x14ac:dyDescent="0.45">
      <c r="A93" s="96">
        <v>93</v>
      </c>
      <c r="B93" s="122" t="s">
        <v>219</v>
      </c>
      <c r="C93" s="109" t="s">
        <v>413</v>
      </c>
      <c r="D93" s="108" t="s">
        <v>408</v>
      </c>
      <c r="E93" s="126" t="s">
        <v>389</v>
      </c>
      <c r="F93" s="108" t="s">
        <v>6</v>
      </c>
      <c r="G93" s="128"/>
      <c r="H93" s="129"/>
      <c r="I93" s="130">
        <v>43131</v>
      </c>
      <c r="J93" s="112">
        <v>105</v>
      </c>
    </row>
    <row r="94" spans="1:12" x14ac:dyDescent="0.45">
      <c r="A94" s="96">
        <v>94</v>
      </c>
      <c r="B94" s="108" t="s">
        <v>200</v>
      </c>
      <c r="C94" s="109" t="s">
        <v>438</v>
      </c>
      <c r="D94" s="108" t="s">
        <v>439</v>
      </c>
      <c r="E94" s="108" t="s">
        <v>260</v>
      </c>
      <c r="F94" s="108" t="s">
        <v>76</v>
      </c>
      <c r="G94" s="128"/>
      <c r="H94" s="129"/>
      <c r="I94" s="130">
        <v>43165</v>
      </c>
      <c r="J94" s="112">
        <v>105</v>
      </c>
    </row>
    <row r="95" spans="1:12" x14ac:dyDescent="0.45">
      <c r="A95" s="96">
        <v>95</v>
      </c>
      <c r="B95" s="122" t="s">
        <v>298</v>
      </c>
      <c r="C95" s="109" t="s">
        <v>497</v>
      </c>
      <c r="D95" s="108" t="s">
        <v>87</v>
      </c>
      <c r="E95" s="108" t="s">
        <v>455</v>
      </c>
      <c r="F95" s="108" t="s">
        <v>88</v>
      </c>
      <c r="G95" s="128"/>
      <c r="H95" s="129"/>
      <c r="I95" s="130">
        <v>43130</v>
      </c>
      <c r="J95" s="112">
        <v>70</v>
      </c>
      <c r="L95" s="117"/>
    </row>
    <row r="96" spans="1:12" x14ac:dyDescent="0.45">
      <c r="A96" s="96">
        <v>96</v>
      </c>
      <c r="B96" s="122" t="s">
        <v>203</v>
      </c>
      <c r="C96" s="109" t="s">
        <v>536</v>
      </c>
      <c r="D96" s="108" t="s">
        <v>78</v>
      </c>
      <c r="E96" s="108" t="s">
        <v>537</v>
      </c>
      <c r="F96" s="108" t="s">
        <v>81</v>
      </c>
      <c r="I96" s="133">
        <v>43130</v>
      </c>
      <c r="J96" s="112">
        <v>105</v>
      </c>
    </row>
    <row r="97" spans="1:16" x14ac:dyDescent="0.45">
      <c r="A97" s="96">
        <v>97</v>
      </c>
      <c r="B97" s="122"/>
      <c r="C97" s="109"/>
      <c r="D97" s="108"/>
      <c r="E97" s="108"/>
      <c r="F97" s="108"/>
      <c r="I97" s="133"/>
      <c r="J97" s="112"/>
    </row>
    <row r="98" spans="1:16" x14ac:dyDescent="0.45">
      <c r="A98" s="96">
        <v>98</v>
      </c>
      <c r="F98" s="4"/>
      <c r="G98" s="4"/>
    </row>
    <row r="99" spans="1:16" x14ac:dyDescent="0.45">
      <c r="A99" s="96">
        <v>99</v>
      </c>
      <c r="C99" s="118" t="s">
        <v>505</v>
      </c>
      <c r="D99" t="s">
        <v>547</v>
      </c>
    </row>
    <row r="100" spans="1:16" x14ac:dyDescent="0.45">
      <c r="A100" s="96">
        <v>100</v>
      </c>
    </row>
    <row r="101" spans="1:16" x14ac:dyDescent="0.45">
      <c r="A101" s="96">
        <v>101</v>
      </c>
      <c r="B101" s="7"/>
      <c r="C101" s="7"/>
      <c r="D101" s="7"/>
      <c r="E101" s="113"/>
      <c r="F101" s="7"/>
      <c r="G101" s="7" t="s">
        <v>506</v>
      </c>
      <c r="H101" s="100"/>
      <c r="I101" s="101"/>
      <c r="J101" s="102">
        <v>1650</v>
      </c>
    </row>
    <row r="102" spans="1:16" x14ac:dyDescent="0.45">
      <c r="A102" s="96">
        <v>102</v>
      </c>
      <c r="B102" s="97"/>
      <c r="C102" s="138" t="s">
        <v>576</v>
      </c>
      <c r="D102" s="144">
        <v>2992.61</v>
      </c>
      <c r="E102" s="97"/>
      <c r="F102" s="97"/>
      <c r="H102" s="7"/>
      <c r="I102" s="104"/>
      <c r="J102" s="7"/>
      <c r="M102" t="s">
        <v>464</v>
      </c>
    </row>
    <row r="103" spans="1:16" x14ac:dyDescent="0.45">
      <c r="A103" s="96">
        <v>103</v>
      </c>
      <c r="B103" s="97"/>
      <c r="C103" s="98"/>
      <c r="D103" s="97"/>
      <c r="E103" s="97"/>
      <c r="F103" s="97"/>
      <c r="G103" s="99"/>
      <c r="H103" s="100"/>
      <c r="I103" s="101"/>
      <c r="J103" s="102"/>
      <c r="M103" s="121">
        <f>J106/100*25</f>
        <v>2951.25</v>
      </c>
    </row>
    <row r="104" spans="1:16" x14ac:dyDescent="0.45">
      <c r="B104" s="7"/>
      <c r="C104" s="7"/>
      <c r="D104" s="7"/>
      <c r="E104" s="113"/>
      <c r="F104" s="7"/>
      <c r="G104" s="7"/>
      <c r="H104" s="7"/>
      <c r="I104" s="104"/>
      <c r="J104" s="7"/>
      <c r="P104" s="121"/>
    </row>
    <row r="105" spans="1:16" x14ac:dyDescent="0.45">
      <c r="B105" s="7"/>
      <c r="C105" s="7"/>
      <c r="D105" s="7"/>
      <c r="E105" s="113"/>
      <c r="F105" s="7"/>
      <c r="G105" s="7"/>
      <c r="H105" s="7"/>
      <c r="I105" s="104"/>
      <c r="J105" s="7"/>
    </row>
    <row r="106" spans="1:16" x14ac:dyDescent="0.45">
      <c r="E106" s="115"/>
      <c r="I106" s="111"/>
      <c r="J106" s="117">
        <f>SUM(J1:J103)</f>
        <v>11805</v>
      </c>
    </row>
  </sheetData>
  <sortState xmlns:xlrd2="http://schemas.microsoft.com/office/spreadsheetml/2017/richdata2" ref="B1:J95">
    <sortCondition ref="D1:D95"/>
  </sortState>
  <pageMargins left="0.7" right="0.7" top="0.75" bottom="0.75" header="0.3" footer="0.3"/>
  <pageSetup paperSize="9" scale="4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A1:P97"/>
  <sheetViews>
    <sheetView topLeftCell="A60" workbookViewId="0">
      <selection activeCell="E93" sqref="E93"/>
    </sheetView>
  </sheetViews>
  <sheetFormatPr defaultRowHeight="14.25" x14ac:dyDescent="0.45"/>
  <cols>
    <col min="1" max="1" width="9" bestFit="1" customWidth="1"/>
    <col min="3" max="3" width="18.1328125" customWidth="1"/>
    <col min="4" max="4" width="20.33203125" customWidth="1"/>
    <col min="5" max="5" width="26.33203125" bestFit="1" customWidth="1"/>
    <col min="6" max="6" width="11" bestFit="1" customWidth="1"/>
    <col min="8" max="8" width="10.6640625" customWidth="1"/>
    <col min="9" max="9" width="11" style="4" customWidth="1"/>
    <col min="10" max="10" width="9.86328125" bestFit="1" customWidth="1"/>
    <col min="15" max="15" width="10.53125" bestFit="1" customWidth="1"/>
  </cols>
  <sheetData>
    <row r="1" spans="1:16" x14ac:dyDescent="0.45">
      <c r="A1" s="96">
        <v>69</v>
      </c>
      <c r="B1" s="97" t="s">
        <v>203</v>
      </c>
      <c r="C1" s="98" t="s">
        <v>440</v>
      </c>
      <c r="D1" s="97" t="s">
        <v>49</v>
      </c>
      <c r="E1" s="97" t="s">
        <v>211</v>
      </c>
      <c r="F1" s="97" t="s">
        <v>249</v>
      </c>
      <c r="G1" s="99"/>
      <c r="H1" s="100"/>
      <c r="I1" s="101">
        <v>43486</v>
      </c>
      <c r="J1" s="102">
        <v>140</v>
      </c>
    </row>
    <row r="2" spans="1:16" x14ac:dyDescent="0.45">
      <c r="A2" s="96">
        <v>38</v>
      </c>
      <c r="B2" s="97" t="s">
        <v>298</v>
      </c>
      <c r="C2" s="98" t="s">
        <v>321</v>
      </c>
      <c r="D2" s="97" t="s">
        <v>1</v>
      </c>
      <c r="E2" s="97" t="s">
        <v>322</v>
      </c>
      <c r="F2" s="97" t="s">
        <v>2</v>
      </c>
      <c r="G2" s="99"/>
      <c r="H2" s="100"/>
      <c r="I2" s="101">
        <v>43487</v>
      </c>
      <c r="J2" s="102">
        <v>157.5</v>
      </c>
    </row>
    <row r="3" spans="1:16" x14ac:dyDescent="0.45">
      <c r="A3" s="96">
        <v>5</v>
      </c>
      <c r="B3" s="97" t="s">
        <v>203</v>
      </c>
      <c r="C3" s="98" t="s">
        <v>215</v>
      </c>
      <c r="D3" s="97" t="s">
        <v>216</v>
      </c>
      <c r="E3" s="97" t="s">
        <v>217</v>
      </c>
      <c r="F3" s="97" t="s">
        <v>218</v>
      </c>
      <c r="G3" s="99"/>
      <c r="H3" s="100"/>
      <c r="I3" s="101">
        <v>43497</v>
      </c>
      <c r="J3" s="102">
        <v>105</v>
      </c>
    </row>
    <row r="4" spans="1:16" x14ac:dyDescent="0.45">
      <c r="A4" s="96">
        <v>62</v>
      </c>
      <c r="B4" s="97" t="s">
        <v>219</v>
      </c>
      <c r="C4" s="98" t="s">
        <v>383</v>
      </c>
      <c r="D4" s="97" t="s">
        <v>3</v>
      </c>
      <c r="E4" s="97" t="s">
        <v>372</v>
      </c>
      <c r="F4" s="97" t="s">
        <v>4</v>
      </c>
      <c r="G4" s="99"/>
      <c r="H4" s="100"/>
      <c r="I4" s="101">
        <v>43511</v>
      </c>
      <c r="J4" s="102">
        <v>210</v>
      </c>
    </row>
    <row r="5" spans="1:16" x14ac:dyDescent="0.45">
      <c r="A5" s="96">
        <v>11</v>
      </c>
      <c r="B5" s="97" t="s">
        <v>222</v>
      </c>
      <c r="C5" s="98" t="s">
        <v>475</v>
      </c>
      <c r="D5" s="97" t="s">
        <v>476</v>
      </c>
      <c r="E5" s="97" t="s">
        <v>477</v>
      </c>
      <c r="F5" s="97" t="s">
        <v>478</v>
      </c>
      <c r="G5" s="99"/>
      <c r="H5" s="100"/>
      <c r="I5" s="101">
        <v>43483</v>
      </c>
      <c r="J5" s="102">
        <v>105</v>
      </c>
    </row>
    <row r="6" spans="1:16" x14ac:dyDescent="0.45">
      <c r="A6" s="96">
        <v>13</v>
      </c>
      <c r="B6" s="97" t="s">
        <v>203</v>
      </c>
      <c r="C6" s="98" t="s">
        <v>479</v>
      </c>
      <c r="D6" s="97" t="s">
        <v>556</v>
      </c>
      <c r="E6" s="125">
        <v>6</v>
      </c>
      <c r="F6" s="107" t="s">
        <v>66</v>
      </c>
      <c r="G6" s="99"/>
      <c r="H6" s="100"/>
      <c r="I6" s="101">
        <v>43483</v>
      </c>
      <c r="J6" s="102">
        <v>105</v>
      </c>
    </row>
    <row r="7" spans="1:16" x14ac:dyDescent="0.45">
      <c r="A7" s="96">
        <v>26</v>
      </c>
      <c r="B7" s="97" t="s">
        <v>203</v>
      </c>
      <c r="C7" s="98" t="s">
        <v>286</v>
      </c>
      <c r="D7" s="97" t="s">
        <v>287</v>
      </c>
      <c r="E7" s="97" t="s">
        <v>288</v>
      </c>
      <c r="F7" s="97" t="s">
        <v>6</v>
      </c>
      <c r="G7" s="99"/>
      <c r="H7" s="100"/>
      <c r="I7" s="101">
        <v>43497</v>
      </c>
      <c r="J7" s="102">
        <v>70</v>
      </c>
    </row>
    <row r="8" spans="1:16" x14ac:dyDescent="0.45">
      <c r="A8" s="96">
        <v>70</v>
      </c>
      <c r="B8" s="97" t="s">
        <v>222</v>
      </c>
      <c r="C8" s="98" t="s">
        <v>275</v>
      </c>
      <c r="D8" s="97" t="s">
        <v>442</v>
      </c>
      <c r="E8" s="97" t="s">
        <v>396</v>
      </c>
      <c r="F8" s="97" t="s">
        <v>68</v>
      </c>
      <c r="G8" s="99"/>
      <c r="H8" s="100"/>
      <c r="I8" s="101">
        <v>43483</v>
      </c>
      <c r="J8" s="102">
        <v>105</v>
      </c>
    </row>
    <row r="9" spans="1:16" x14ac:dyDescent="0.45">
      <c r="A9" s="96">
        <v>1</v>
      </c>
      <c r="B9" s="97" t="s">
        <v>200</v>
      </c>
      <c r="C9" s="98" t="s">
        <v>201</v>
      </c>
      <c r="D9" s="97" t="s">
        <v>5</v>
      </c>
      <c r="E9" s="97" t="s">
        <v>202</v>
      </c>
      <c r="F9" s="97" t="s">
        <v>6</v>
      </c>
      <c r="G9" s="99"/>
      <c r="H9" s="100"/>
      <c r="I9" s="101">
        <v>43528</v>
      </c>
      <c r="J9" s="102">
        <v>147</v>
      </c>
      <c r="O9" s="9"/>
    </row>
    <row r="10" spans="1:16" x14ac:dyDescent="0.45">
      <c r="A10" s="96">
        <v>78</v>
      </c>
      <c r="B10" s="97" t="s">
        <v>222</v>
      </c>
      <c r="C10" s="98" t="s">
        <v>418</v>
      </c>
      <c r="D10" s="103" t="s">
        <v>419</v>
      </c>
      <c r="E10" s="97" t="s">
        <v>56</v>
      </c>
      <c r="F10" s="97" t="s">
        <v>57</v>
      </c>
      <c r="G10" s="99"/>
      <c r="H10" s="100"/>
      <c r="I10" s="101">
        <v>43486</v>
      </c>
      <c r="J10" s="102">
        <v>105</v>
      </c>
    </row>
    <row r="11" spans="1:16" x14ac:dyDescent="0.45">
      <c r="A11" s="96">
        <v>28</v>
      </c>
      <c r="B11" s="98" t="s">
        <v>200</v>
      </c>
      <c r="C11" s="98" t="s">
        <v>293</v>
      </c>
      <c r="D11" s="98" t="s">
        <v>294</v>
      </c>
      <c r="E11" s="98" t="s">
        <v>295</v>
      </c>
      <c r="F11" s="98" t="s">
        <v>8</v>
      </c>
      <c r="G11" s="99"/>
      <c r="H11" s="100"/>
      <c r="I11" s="101">
        <v>43507</v>
      </c>
      <c r="J11" s="102">
        <v>35</v>
      </c>
    </row>
    <row r="12" spans="1:16" x14ac:dyDescent="0.45">
      <c r="A12" s="96">
        <v>19</v>
      </c>
      <c r="B12" s="97" t="s">
        <v>219</v>
      </c>
      <c r="C12" s="98" t="s">
        <v>484</v>
      </c>
      <c r="D12" s="97" t="s">
        <v>69</v>
      </c>
      <c r="E12" s="125">
        <v>33</v>
      </c>
      <c r="F12" s="97" t="s">
        <v>70</v>
      </c>
      <c r="G12" s="107"/>
      <c r="H12" s="107"/>
      <c r="I12" s="135">
        <v>43487</v>
      </c>
      <c r="J12" s="102">
        <v>105</v>
      </c>
      <c r="K12" s="120"/>
      <c r="L12" s="120"/>
      <c r="M12" s="120"/>
      <c r="N12" s="120"/>
      <c r="O12" s="120"/>
      <c r="P12" s="120"/>
    </row>
    <row r="13" spans="1:16" x14ac:dyDescent="0.45">
      <c r="A13" s="96">
        <v>4</v>
      </c>
      <c r="B13" s="109" t="s">
        <v>222</v>
      </c>
      <c r="C13" s="109" t="s">
        <v>289</v>
      </c>
      <c r="D13" s="109" t="s">
        <v>52</v>
      </c>
      <c r="E13" s="141" t="s">
        <v>396</v>
      </c>
      <c r="F13" s="141" t="s">
        <v>53</v>
      </c>
      <c r="G13" s="99"/>
      <c r="H13" s="100"/>
      <c r="I13" s="101">
        <v>43486</v>
      </c>
      <c r="J13" s="102">
        <v>105</v>
      </c>
    </row>
    <row r="14" spans="1:16" x14ac:dyDescent="0.45">
      <c r="A14" s="96">
        <v>3</v>
      </c>
      <c r="B14" s="97" t="s">
        <v>219</v>
      </c>
      <c r="C14" s="98" t="s">
        <v>105</v>
      </c>
      <c r="D14" s="97" t="s">
        <v>90</v>
      </c>
      <c r="E14" s="97" t="s">
        <v>557</v>
      </c>
      <c r="F14" s="97" t="s">
        <v>558</v>
      </c>
      <c r="G14" s="99"/>
      <c r="H14" s="100"/>
      <c r="I14" s="101">
        <v>43495</v>
      </c>
      <c r="J14" s="102">
        <v>52.5</v>
      </c>
    </row>
    <row r="15" spans="1:16" x14ac:dyDescent="0.45">
      <c r="A15" s="96">
        <v>20</v>
      </c>
      <c r="B15" s="97" t="s">
        <v>200</v>
      </c>
      <c r="C15" s="98" t="s">
        <v>485</v>
      </c>
      <c r="D15" s="97" t="s">
        <v>486</v>
      </c>
      <c r="E15" s="97" t="s">
        <v>253</v>
      </c>
      <c r="F15" s="97" t="s">
        <v>23</v>
      </c>
      <c r="G15" s="99"/>
      <c r="H15" s="100"/>
      <c r="I15" s="101">
        <v>43483</v>
      </c>
      <c r="J15" s="102">
        <v>105</v>
      </c>
    </row>
    <row r="16" spans="1:16" x14ac:dyDescent="0.45">
      <c r="A16" s="96">
        <v>37</v>
      </c>
      <c r="B16" s="107" t="s">
        <v>203</v>
      </c>
      <c r="C16" s="107" t="s">
        <v>472</v>
      </c>
      <c r="D16" s="107" t="s">
        <v>91</v>
      </c>
      <c r="E16" s="125">
        <v>48</v>
      </c>
      <c r="F16" s="107" t="s">
        <v>6</v>
      </c>
      <c r="G16" s="107"/>
      <c r="H16" s="107"/>
      <c r="I16" s="135">
        <v>43493</v>
      </c>
      <c r="J16" s="131">
        <v>52.5</v>
      </c>
    </row>
    <row r="17" spans="1:16" x14ac:dyDescent="0.45">
      <c r="A17" s="96">
        <v>79</v>
      </c>
      <c r="B17" s="97" t="s">
        <v>298</v>
      </c>
      <c r="C17" s="98" t="s">
        <v>420</v>
      </c>
      <c r="D17" s="97" t="s">
        <v>10</v>
      </c>
      <c r="E17" s="97" t="s">
        <v>421</v>
      </c>
      <c r="F17" s="97" t="s">
        <v>11</v>
      </c>
      <c r="G17" s="99"/>
      <c r="H17" s="100"/>
      <c r="I17" s="101">
        <v>43486</v>
      </c>
      <c r="J17" s="102">
        <v>105</v>
      </c>
    </row>
    <row r="18" spans="1:16" ht="17" customHeight="1" x14ac:dyDescent="0.45">
      <c r="A18" s="96">
        <v>2</v>
      </c>
      <c r="B18" s="142" t="s">
        <v>262</v>
      </c>
      <c r="C18" s="142" t="s">
        <v>263</v>
      </c>
      <c r="D18" s="142" t="s">
        <v>264</v>
      </c>
      <c r="E18" s="142" t="s">
        <v>265</v>
      </c>
      <c r="F18" s="143" t="s">
        <v>266</v>
      </c>
      <c r="G18" s="99"/>
      <c r="H18" s="100"/>
      <c r="I18" s="101">
        <v>43237</v>
      </c>
      <c r="J18" s="102">
        <v>35</v>
      </c>
    </row>
    <row r="19" spans="1:16" s="120" customFormat="1" x14ac:dyDescent="0.45">
      <c r="A19" s="96">
        <v>32</v>
      </c>
      <c r="B19" s="108" t="s">
        <v>219</v>
      </c>
      <c r="C19" s="109" t="s">
        <v>25</v>
      </c>
      <c r="D19" s="108" t="s">
        <v>307</v>
      </c>
      <c r="E19" s="126" t="s">
        <v>308</v>
      </c>
      <c r="F19" s="108" t="s">
        <v>309</v>
      </c>
      <c r="G19" s="99"/>
      <c r="H19" s="100"/>
      <c r="I19" s="101">
        <v>43374</v>
      </c>
      <c r="J19" s="102">
        <v>126</v>
      </c>
      <c r="K19"/>
      <c r="L19"/>
      <c r="M19"/>
      <c r="N19"/>
      <c r="O19"/>
      <c r="P19"/>
    </row>
    <row r="20" spans="1:16" x14ac:dyDescent="0.45">
      <c r="A20" s="96">
        <v>71</v>
      </c>
      <c r="B20" s="97" t="s">
        <v>200</v>
      </c>
      <c r="C20" s="98" t="s">
        <v>443</v>
      </c>
      <c r="D20" s="97" t="s">
        <v>71</v>
      </c>
      <c r="E20" s="97" t="s">
        <v>444</v>
      </c>
      <c r="F20" s="97" t="s">
        <v>72</v>
      </c>
      <c r="G20" s="99"/>
      <c r="H20" s="100"/>
      <c r="I20" s="101">
        <v>43490</v>
      </c>
      <c r="J20" s="102">
        <v>210</v>
      </c>
    </row>
    <row r="21" spans="1:16" x14ac:dyDescent="0.45">
      <c r="A21" s="96">
        <v>39</v>
      </c>
      <c r="B21" s="97" t="s">
        <v>222</v>
      </c>
      <c r="C21" s="98" t="s">
        <v>323</v>
      </c>
      <c r="D21" s="97" t="s">
        <v>324</v>
      </c>
      <c r="E21" s="97" t="s">
        <v>253</v>
      </c>
      <c r="F21" s="97" t="s">
        <v>32</v>
      </c>
      <c r="G21" s="99"/>
      <c r="H21" s="100"/>
      <c r="I21" s="101">
        <v>43503</v>
      </c>
      <c r="J21" s="102">
        <v>140</v>
      </c>
    </row>
    <row r="22" spans="1:16" x14ac:dyDescent="0.45">
      <c r="A22" s="96">
        <v>81</v>
      </c>
      <c r="B22" s="98" t="s">
        <v>219</v>
      </c>
      <c r="C22" s="98" t="s">
        <v>28</v>
      </c>
      <c r="D22" s="98" t="s">
        <v>13</v>
      </c>
      <c r="E22" s="98" t="s">
        <v>14</v>
      </c>
      <c r="F22" s="98" t="s">
        <v>15</v>
      </c>
      <c r="G22" s="99"/>
      <c r="H22" s="100"/>
      <c r="I22" s="101">
        <v>43543</v>
      </c>
      <c r="J22" s="102">
        <v>122.5</v>
      </c>
    </row>
    <row r="23" spans="1:16" x14ac:dyDescent="0.45">
      <c r="A23" s="96">
        <v>36</v>
      </c>
      <c r="B23" s="98" t="s">
        <v>298</v>
      </c>
      <c r="C23" s="98" t="s">
        <v>377</v>
      </c>
      <c r="D23" s="98" t="s">
        <v>73</v>
      </c>
      <c r="E23" s="98" t="s">
        <v>533</v>
      </c>
      <c r="F23" s="98" t="s">
        <v>74</v>
      </c>
      <c r="G23" s="99"/>
      <c r="H23" s="100"/>
      <c r="I23" s="101">
        <v>43483</v>
      </c>
      <c r="J23" s="102">
        <v>105</v>
      </c>
    </row>
    <row r="24" spans="1:16" x14ac:dyDescent="0.45">
      <c r="A24" s="96">
        <v>33</v>
      </c>
      <c r="B24" s="97" t="s">
        <v>222</v>
      </c>
      <c r="C24" s="98" t="s">
        <v>491</v>
      </c>
      <c r="D24" s="97" t="s">
        <v>492</v>
      </c>
      <c r="E24" s="97" t="s">
        <v>441</v>
      </c>
      <c r="F24" s="97" t="s">
        <v>493</v>
      </c>
      <c r="G24" s="99"/>
      <c r="H24" s="100"/>
      <c r="I24" s="101">
        <v>43579</v>
      </c>
      <c r="J24" s="102">
        <v>87.5</v>
      </c>
    </row>
    <row r="25" spans="1:16" x14ac:dyDescent="0.45">
      <c r="A25" s="96">
        <v>43</v>
      </c>
      <c r="B25" s="97" t="s">
        <v>222</v>
      </c>
      <c r="C25" s="98" t="s">
        <v>333</v>
      </c>
      <c r="D25" s="103" t="s">
        <v>75</v>
      </c>
      <c r="E25" s="97" t="s">
        <v>334</v>
      </c>
      <c r="F25" s="97" t="s">
        <v>76</v>
      </c>
      <c r="G25" s="99"/>
      <c r="H25" s="100"/>
      <c r="I25" s="101">
        <v>43496</v>
      </c>
      <c r="J25" s="102">
        <v>105</v>
      </c>
    </row>
    <row r="26" spans="1:16" x14ac:dyDescent="0.45">
      <c r="A26" s="96">
        <v>7</v>
      </c>
      <c r="B26" s="97" t="s">
        <v>222</v>
      </c>
      <c r="C26" s="98" t="s">
        <v>223</v>
      </c>
      <c r="D26" s="97" t="s">
        <v>224</v>
      </c>
      <c r="E26" s="97" t="s">
        <v>225</v>
      </c>
      <c r="F26" s="97" t="s">
        <v>226</v>
      </c>
      <c r="G26" s="99"/>
      <c r="H26" s="100"/>
      <c r="I26" s="101">
        <v>43237</v>
      </c>
      <c r="J26" s="102">
        <v>35</v>
      </c>
    </row>
    <row r="27" spans="1:16" x14ac:dyDescent="0.45">
      <c r="A27" s="96">
        <v>29</v>
      </c>
      <c r="B27" s="97" t="s">
        <v>222</v>
      </c>
      <c r="C27" s="98" t="s">
        <v>296</v>
      </c>
      <c r="D27" s="103" t="s">
        <v>16</v>
      </c>
      <c r="E27" s="97" t="s">
        <v>297</v>
      </c>
      <c r="F27" s="97" t="s">
        <v>18</v>
      </c>
      <c r="G27" s="99"/>
      <c r="H27" s="100"/>
      <c r="I27" s="101">
        <v>43486</v>
      </c>
      <c r="J27" s="102">
        <v>140</v>
      </c>
    </row>
    <row r="28" spans="1:16" x14ac:dyDescent="0.45">
      <c r="A28" s="96">
        <v>44</v>
      </c>
      <c r="B28" s="97" t="s">
        <v>203</v>
      </c>
      <c r="C28" s="98" t="s">
        <v>335</v>
      </c>
      <c r="D28" s="103" t="s">
        <v>336</v>
      </c>
      <c r="E28" s="97" t="s">
        <v>337</v>
      </c>
      <c r="F28" s="97" t="s">
        <v>338</v>
      </c>
      <c r="G28" s="99"/>
      <c r="H28" s="100"/>
      <c r="I28" s="101">
        <v>43487</v>
      </c>
      <c r="J28" s="102">
        <v>175</v>
      </c>
    </row>
    <row r="29" spans="1:16" x14ac:dyDescent="0.45">
      <c r="A29" s="96">
        <v>56</v>
      </c>
      <c r="B29" s="97" t="s">
        <v>203</v>
      </c>
      <c r="C29" s="98" t="s">
        <v>509</v>
      </c>
      <c r="D29" s="97" t="s">
        <v>95</v>
      </c>
      <c r="E29" s="97" t="s">
        <v>510</v>
      </c>
      <c r="F29" s="97" t="s">
        <v>511</v>
      </c>
      <c r="G29" s="99"/>
      <c r="H29" s="100"/>
      <c r="I29" s="101">
        <v>43508</v>
      </c>
      <c r="J29" s="102">
        <v>175</v>
      </c>
    </row>
    <row r="30" spans="1:16" x14ac:dyDescent="0.45">
      <c r="A30" s="96">
        <v>42</v>
      </c>
      <c r="B30" s="97" t="s">
        <v>219</v>
      </c>
      <c r="C30" s="98" t="s">
        <v>330</v>
      </c>
      <c r="D30" s="97" t="s">
        <v>46</v>
      </c>
      <c r="E30" s="97" t="s">
        <v>331</v>
      </c>
      <c r="F30" s="97" t="s">
        <v>332</v>
      </c>
      <c r="G30" s="99"/>
      <c r="H30" s="100"/>
      <c r="I30" s="101">
        <v>43496</v>
      </c>
      <c r="J30" s="102">
        <v>105</v>
      </c>
    </row>
    <row r="31" spans="1:16" x14ac:dyDescent="0.45">
      <c r="A31" s="96">
        <v>60</v>
      </c>
      <c r="B31" s="98" t="s">
        <v>222</v>
      </c>
      <c r="C31" s="98" t="s">
        <v>201</v>
      </c>
      <c r="D31" s="98" t="s">
        <v>502</v>
      </c>
      <c r="E31" s="98" t="s">
        <v>503</v>
      </c>
      <c r="F31" s="105" t="s">
        <v>329</v>
      </c>
      <c r="G31" s="99"/>
      <c r="H31" s="100"/>
      <c r="I31" s="101">
        <v>43501</v>
      </c>
      <c r="J31" s="102">
        <v>105</v>
      </c>
    </row>
    <row r="32" spans="1:16" x14ac:dyDescent="0.45">
      <c r="A32" s="96">
        <v>52</v>
      </c>
      <c r="B32" s="98" t="s">
        <v>219</v>
      </c>
      <c r="C32" s="98" t="s">
        <v>355</v>
      </c>
      <c r="D32" s="105" t="s">
        <v>356</v>
      </c>
      <c r="E32" s="98" t="s">
        <v>357</v>
      </c>
      <c r="F32" s="98" t="s">
        <v>18</v>
      </c>
      <c r="G32" s="99"/>
      <c r="H32" s="100"/>
      <c r="I32" s="101">
        <v>43213</v>
      </c>
      <c r="J32" s="102">
        <v>35</v>
      </c>
    </row>
    <row r="33" spans="1:10" x14ac:dyDescent="0.45">
      <c r="A33" s="96">
        <v>45</v>
      </c>
      <c r="B33" s="97" t="s">
        <v>219</v>
      </c>
      <c r="C33" s="98" t="s">
        <v>339</v>
      </c>
      <c r="D33" s="97" t="s">
        <v>340</v>
      </c>
      <c r="E33" s="97" t="s">
        <v>341</v>
      </c>
      <c r="F33" s="97" t="s">
        <v>274</v>
      </c>
      <c r="G33" s="99"/>
      <c r="H33" s="100"/>
      <c r="I33" s="101">
        <v>43497</v>
      </c>
      <c r="J33" s="102">
        <v>175</v>
      </c>
    </row>
    <row r="34" spans="1:10" x14ac:dyDescent="0.45">
      <c r="A34" s="96">
        <v>12</v>
      </c>
      <c r="B34" s="97" t="s">
        <v>203</v>
      </c>
      <c r="C34" s="98" t="s">
        <v>267</v>
      </c>
      <c r="D34" s="97" t="s">
        <v>268</v>
      </c>
      <c r="E34" s="125">
        <v>51</v>
      </c>
      <c r="F34" s="97" t="s">
        <v>270</v>
      </c>
      <c r="G34" s="7"/>
      <c r="H34" s="7"/>
      <c r="I34" s="104">
        <v>43259</v>
      </c>
      <c r="J34" s="131">
        <v>35</v>
      </c>
    </row>
    <row r="35" spans="1:10" x14ac:dyDescent="0.45">
      <c r="A35" s="96">
        <v>30</v>
      </c>
      <c r="B35" s="97" t="s">
        <v>298</v>
      </c>
      <c r="C35" s="98" t="s">
        <v>299</v>
      </c>
      <c r="D35" s="97" t="s">
        <v>58</v>
      </c>
      <c r="E35" s="97" t="s">
        <v>300</v>
      </c>
      <c r="F35" s="97" t="s">
        <v>301</v>
      </c>
      <c r="G35" s="99"/>
      <c r="H35" s="100"/>
      <c r="I35" s="101">
        <v>43486</v>
      </c>
      <c r="J35" s="102">
        <v>105</v>
      </c>
    </row>
    <row r="36" spans="1:10" x14ac:dyDescent="0.45">
      <c r="A36" s="96">
        <v>6</v>
      </c>
      <c r="B36" s="97" t="s">
        <v>219</v>
      </c>
      <c r="C36" s="98" t="s">
        <v>45</v>
      </c>
      <c r="D36" s="97" t="s">
        <v>220</v>
      </c>
      <c r="E36" s="97" t="s">
        <v>211</v>
      </c>
      <c r="F36" s="97" t="s">
        <v>221</v>
      </c>
      <c r="G36" s="99"/>
      <c r="H36" s="100"/>
      <c r="I36" s="101">
        <v>43400</v>
      </c>
      <c r="J36" s="102">
        <v>105</v>
      </c>
    </row>
    <row r="37" spans="1:10" x14ac:dyDescent="0.45">
      <c r="A37" s="96">
        <v>50</v>
      </c>
      <c r="B37" s="97" t="s">
        <v>203</v>
      </c>
      <c r="C37" s="98" t="s">
        <v>351</v>
      </c>
      <c r="D37" s="103" t="s">
        <v>20</v>
      </c>
      <c r="E37" s="97" t="s">
        <v>22</v>
      </c>
      <c r="F37" s="97" t="s">
        <v>23</v>
      </c>
      <c r="G37" s="99"/>
      <c r="H37" s="100"/>
      <c r="I37" s="101">
        <v>43486</v>
      </c>
      <c r="J37" s="102">
        <v>210</v>
      </c>
    </row>
    <row r="38" spans="1:10" x14ac:dyDescent="0.45">
      <c r="A38" s="96">
        <v>48</v>
      </c>
      <c r="B38" s="97" t="s">
        <v>298</v>
      </c>
      <c r="C38" s="98" t="s">
        <v>495</v>
      </c>
      <c r="D38" s="103" t="s">
        <v>24</v>
      </c>
      <c r="E38" s="97" t="s">
        <v>496</v>
      </c>
      <c r="F38" s="97" t="s">
        <v>76</v>
      </c>
      <c r="G38" s="99"/>
      <c r="H38" s="100"/>
      <c r="I38" s="104">
        <v>43483</v>
      </c>
      <c r="J38" s="102">
        <v>105</v>
      </c>
    </row>
    <row r="39" spans="1:10" x14ac:dyDescent="0.45">
      <c r="A39" s="96">
        <v>67</v>
      </c>
      <c r="B39" s="97" t="s">
        <v>262</v>
      </c>
      <c r="C39" s="98" t="s">
        <v>392</v>
      </c>
      <c r="D39" s="97" t="s">
        <v>24</v>
      </c>
      <c r="E39" s="97" t="s">
        <v>393</v>
      </c>
      <c r="F39" s="97" t="s">
        <v>26</v>
      </c>
      <c r="G39" s="99"/>
      <c r="H39" s="100"/>
      <c r="I39" s="101">
        <v>43497</v>
      </c>
      <c r="J39" s="102">
        <v>35</v>
      </c>
    </row>
    <row r="40" spans="1:10" x14ac:dyDescent="0.45">
      <c r="A40" s="96">
        <v>18</v>
      </c>
      <c r="B40" s="97" t="s">
        <v>242</v>
      </c>
      <c r="C40" s="98" t="s">
        <v>481</v>
      </c>
      <c r="D40" s="97" t="s">
        <v>482</v>
      </c>
      <c r="E40" s="97" t="s">
        <v>483</v>
      </c>
      <c r="F40" s="97" t="s">
        <v>70</v>
      </c>
      <c r="G40" s="99"/>
      <c r="H40" s="100"/>
      <c r="I40" s="101">
        <v>43517</v>
      </c>
      <c r="J40" s="102">
        <v>105</v>
      </c>
    </row>
    <row r="41" spans="1:10" x14ac:dyDescent="0.45">
      <c r="A41" s="96">
        <v>35</v>
      </c>
      <c r="B41" s="97" t="s">
        <v>219</v>
      </c>
      <c r="C41" s="98" t="s">
        <v>45</v>
      </c>
      <c r="D41" s="97" t="s">
        <v>315</v>
      </c>
      <c r="E41" s="97" t="s">
        <v>316</v>
      </c>
      <c r="F41" s="97" t="s">
        <v>266</v>
      </c>
      <c r="G41" s="99"/>
      <c r="H41" s="100"/>
      <c r="I41" s="101">
        <v>43486</v>
      </c>
      <c r="J41" s="102">
        <v>105</v>
      </c>
    </row>
    <row r="42" spans="1:10" x14ac:dyDescent="0.45">
      <c r="A42" s="96">
        <v>46</v>
      </c>
      <c r="B42" s="97" t="s">
        <v>203</v>
      </c>
      <c r="C42" s="98" t="s">
        <v>21</v>
      </c>
      <c r="D42" s="97" t="s">
        <v>342</v>
      </c>
      <c r="E42" s="97" t="s">
        <v>343</v>
      </c>
      <c r="F42" s="97" t="s">
        <v>11</v>
      </c>
      <c r="G42" s="99"/>
      <c r="H42" s="100"/>
      <c r="I42" s="101">
        <v>43501</v>
      </c>
      <c r="J42" s="102">
        <v>105</v>
      </c>
    </row>
    <row r="43" spans="1:10" x14ac:dyDescent="0.45">
      <c r="A43" s="96">
        <v>77</v>
      </c>
      <c r="B43" s="97" t="s">
        <v>219</v>
      </c>
      <c r="C43" s="98" t="s">
        <v>573</v>
      </c>
      <c r="D43" s="103" t="s">
        <v>574</v>
      </c>
      <c r="E43" s="97" t="s">
        <v>441</v>
      </c>
      <c r="F43" s="97" t="s">
        <v>575</v>
      </c>
      <c r="G43" s="99"/>
      <c r="H43" s="100"/>
      <c r="I43" s="101">
        <v>43544</v>
      </c>
      <c r="J43" s="102">
        <v>17.5</v>
      </c>
    </row>
    <row r="44" spans="1:10" x14ac:dyDescent="0.45">
      <c r="A44" s="96">
        <v>66</v>
      </c>
      <c r="B44" s="97" t="s">
        <v>219</v>
      </c>
      <c r="C44" s="98" t="s">
        <v>41</v>
      </c>
      <c r="D44" s="97" t="s">
        <v>77</v>
      </c>
      <c r="E44" s="97" t="s">
        <v>428</v>
      </c>
      <c r="F44" s="97" t="s">
        <v>18</v>
      </c>
      <c r="G44" s="99"/>
      <c r="H44" s="100"/>
      <c r="I44" s="101">
        <v>43490</v>
      </c>
      <c r="J44" s="102">
        <v>175</v>
      </c>
    </row>
    <row r="45" spans="1:10" x14ac:dyDescent="0.45">
      <c r="A45" s="96">
        <v>23</v>
      </c>
      <c r="B45" s="97" t="s">
        <v>203</v>
      </c>
      <c r="C45" s="98" t="s">
        <v>560</v>
      </c>
      <c r="D45" s="97" t="s">
        <v>561</v>
      </c>
      <c r="E45" s="97" t="s">
        <v>278</v>
      </c>
      <c r="F45" s="97" t="s">
        <v>562</v>
      </c>
      <c r="G45" s="99"/>
      <c r="H45" s="100"/>
      <c r="I45" s="101">
        <v>43516</v>
      </c>
      <c r="J45" s="102">
        <v>35</v>
      </c>
    </row>
    <row r="46" spans="1:10" x14ac:dyDescent="0.45">
      <c r="A46" s="96">
        <v>34</v>
      </c>
      <c r="B46" s="97" t="s">
        <v>203</v>
      </c>
      <c r="C46" s="98" t="s">
        <v>536</v>
      </c>
      <c r="D46" s="97" t="s">
        <v>78</v>
      </c>
      <c r="E46" s="97" t="s">
        <v>537</v>
      </c>
      <c r="F46" s="97" t="s">
        <v>81</v>
      </c>
      <c r="G46" s="99"/>
      <c r="H46" s="100"/>
      <c r="I46" s="101">
        <v>43483</v>
      </c>
      <c r="J46" s="102">
        <v>105</v>
      </c>
    </row>
    <row r="47" spans="1:10" x14ac:dyDescent="0.45">
      <c r="A47" s="96">
        <v>83</v>
      </c>
      <c r="B47" s="97" t="s">
        <v>200</v>
      </c>
      <c r="C47" s="98" t="s">
        <v>296</v>
      </c>
      <c r="D47" s="97" t="s">
        <v>60</v>
      </c>
      <c r="E47" s="97" t="s">
        <v>295</v>
      </c>
      <c r="F47" s="97" t="s">
        <v>61</v>
      </c>
      <c r="G47" s="99"/>
      <c r="H47" s="100"/>
      <c r="I47" s="101">
        <v>43486</v>
      </c>
      <c r="J47" s="102">
        <v>105</v>
      </c>
    </row>
    <row r="48" spans="1:10" x14ac:dyDescent="0.45">
      <c r="A48" s="96">
        <v>21</v>
      </c>
      <c r="B48" s="97" t="s">
        <v>219</v>
      </c>
      <c r="C48" s="98" t="s">
        <v>487</v>
      </c>
      <c r="D48" s="97" t="s">
        <v>488</v>
      </c>
      <c r="E48" s="97" t="s">
        <v>489</v>
      </c>
      <c r="F48" s="97" t="s">
        <v>490</v>
      </c>
      <c r="G48" s="99"/>
      <c r="H48" s="100"/>
      <c r="I48" s="101">
        <v>43486</v>
      </c>
      <c r="J48" s="102">
        <v>105</v>
      </c>
    </row>
    <row r="49" spans="1:15" x14ac:dyDescent="0.45">
      <c r="A49" s="96">
        <v>47</v>
      </c>
      <c r="B49" s="97" t="s">
        <v>219</v>
      </c>
      <c r="C49" s="98" t="s">
        <v>97</v>
      </c>
      <c r="D49" s="97" t="s">
        <v>344</v>
      </c>
      <c r="E49" s="97" t="s">
        <v>345</v>
      </c>
      <c r="F49" s="97" t="s">
        <v>261</v>
      </c>
      <c r="G49" s="99"/>
      <c r="H49" s="100"/>
      <c r="I49" s="101">
        <v>43497</v>
      </c>
      <c r="J49" s="102">
        <v>182</v>
      </c>
    </row>
    <row r="50" spans="1:15" x14ac:dyDescent="0.45">
      <c r="A50" s="96">
        <v>68</v>
      </c>
      <c r="B50" s="98" t="s">
        <v>200</v>
      </c>
      <c r="C50" s="98" t="s">
        <v>566</v>
      </c>
      <c r="D50" s="98" t="s">
        <v>103</v>
      </c>
      <c r="E50" s="98" t="s">
        <v>567</v>
      </c>
      <c r="F50" s="98" t="s">
        <v>37</v>
      </c>
      <c r="G50" s="99"/>
      <c r="H50" s="100"/>
      <c r="I50" s="101">
        <v>43493</v>
      </c>
      <c r="J50" s="102">
        <v>52.5</v>
      </c>
    </row>
    <row r="51" spans="1:15" x14ac:dyDescent="0.45">
      <c r="A51" s="96">
        <v>82</v>
      </c>
      <c r="B51" s="97" t="s">
        <v>200</v>
      </c>
      <c r="C51" s="98" t="s">
        <v>445</v>
      </c>
      <c r="D51" s="97" t="s">
        <v>446</v>
      </c>
      <c r="E51" s="97" t="s">
        <v>504</v>
      </c>
      <c r="F51" s="97" t="s">
        <v>404</v>
      </c>
      <c r="G51" s="99"/>
      <c r="H51" s="100"/>
      <c r="I51" s="101">
        <v>43357</v>
      </c>
      <c r="J51" s="102">
        <v>70</v>
      </c>
      <c r="M51" t="s">
        <v>99</v>
      </c>
      <c r="N51">
        <v>105</v>
      </c>
    </row>
    <row r="52" spans="1:15" x14ac:dyDescent="0.45">
      <c r="A52" s="96">
        <v>57</v>
      </c>
      <c r="B52" s="97" t="s">
        <v>219</v>
      </c>
      <c r="C52" s="98" t="s">
        <v>45</v>
      </c>
      <c r="D52" s="97" t="s">
        <v>80</v>
      </c>
      <c r="E52" s="106" t="s">
        <v>370</v>
      </c>
      <c r="F52" s="97" t="s">
        <v>81</v>
      </c>
      <c r="G52" s="107"/>
      <c r="H52" s="107"/>
      <c r="I52" s="104">
        <v>43494</v>
      </c>
      <c r="J52" s="102">
        <v>140</v>
      </c>
      <c r="M52" t="s">
        <v>12</v>
      </c>
      <c r="N52">
        <v>210</v>
      </c>
    </row>
    <row r="53" spans="1:15" x14ac:dyDescent="0.45">
      <c r="A53" s="96">
        <v>41</v>
      </c>
      <c r="B53" s="97" t="s">
        <v>203</v>
      </c>
      <c r="C53" s="98" t="s">
        <v>323</v>
      </c>
      <c r="D53" s="97" t="s">
        <v>528</v>
      </c>
      <c r="E53" s="97" t="s">
        <v>529</v>
      </c>
      <c r="F53" s="97" t="s">
        <v>530</v>
      </c>
      <c r="G53" s="107"/>
      <c r="H53" s="107"/>
      <c r="I53" s="135">
        <v>43486</v>
      </c>
      <c r="J53" s="102">
        <v>140</v>
      </c>
      <c r="M53" t="s">
        <v>548</v>
      </c>
      <c r="N53">
        <v>105</v>
      </c>
    </row>
    <row r="54" spans="1:15" x14ac:dyDescent="0.45">
      <c r="A54" s="96">
        <v>84</v>
      </c>
      <c r="B54" s="97" t="s">
        <v>200</v>
      </c>
      <c r="C54" s="98" t="s">
        <v>451</v>
      </c>
      <c r="D54" s="97" t="s">
        <v>27</v>
      </c>
      <c r="E54" s="97" t="s">
        <v>452</v>
      </c>
      <c r="F54" s="97" t="s">
        <v>453</v>
      </c>
      <c r="G54" s="99"/>
      <c r="H54" s="100"/>
      <c r="I54" s="101">
        <v>43490</v>
      </c>
      <c r="J54" s="102">
        <v>210</v>
      </c>
    </row>
    <row r="55" spans="1:15" x14ac:dyDescent="0.45">
      <c r="A55" s="96">
        <v>17</v>
      </c>
      <c r="B55" s="97" t="s">
        <v>203</v>
      </c>
      <c r="C55" s="98" t="s">
        <v>267</v>
      </c>
      <c r="D55" s="97" t="s">
        <v>563</v>
      </c>
      <c r="E55" s="103" t="s">
        <v>389</v>
      </c>
      <c r="F55" s="97" t="s">
        <v>564</v>
      </c>
      <c r="G55" s="99"/>
      <c r="H55" s="100"/>
      <c r="I55" s="101">
        <v>43544</v>
      </c>
      <c r="J55" s="102">
        <v>17.5</v>
      </c>
      <c r="M55" t="s">
        <v>513</v>
      </c>
      <c r="N55">
        <v>35</v>
      </c>
    </row>
    <row r="56" spans="1:15" x14ac:dyDescent="0.45">
      <c r="A56" s="96">
        <v>27</v>
      </c>
      <c r="B56" s="98" t="s">
        <v>219</v>
      </c>
      <c r="C56" s="98" t="s">
        <v>109</v>
      </c>
      <c r="D56" s="98" t="s">
        <v>565</v>
      </c>
      <c r="E56" s="98" t="s">
        <v>527</v>
      </c>
      <c r="F56" s="98" t="s">
        <v>241</v>
      </c>
      <c r="G56" s="99"/>
      <c r="H56" s="100"/>
      <c r="I56" s="101">
        <v>43493</v>
      </c>
      <c r="J56" s="102">
        <v>105</v>
      </c>
      <c r="M56" t="s">
        <v>550</v>
      </c>
      <c r="N56">
        <v>105</v>
      </c>
    </row>
    <row r="57" spans="1:15" x14ac:dyDescent="0.45">
      <c r="A57" s="96">
        <v>40</v>
      </c>
      <c r="B57" s="97" t="s">
        <v>203</v>
      </c>
      <c r="C57" s="98" t="s">
        <v>325</v>
      </c>
      <c r="D57" s="97" t="s">
        <v>29</v>
      </c>
      <c r="E57" s="97" t="s">
        <v>326</v>
      </c>
      <c r="F57" s="97" t="s">
        <v>30</v>
      </c>
      <c r="G57" s="99"/>
      <c r="H57" s="100"/>
      <c r="I57" s="101">
        <v>43490</v>
      </c>
      <c r="J57" s="102">
        <v>105</v>
      </c>
      <c r="M57" t="s">
        <v>58</v>
      </c>
      <c r="N57">
        <v>56</v>
      </c>
      <c r="O57" t="s">
        <v>552</v>
      </c>
    </row>
    <row r="58" spans="1:15" x14ac:dyDescent="0.45">
      <c r="A58" s="96">
        <v>22</v>
      </c>
      <c r="B58" s="97" t="s">
        <v>203</v>
      </c>
      <c r="C58" s="98" t="s">
        <v>275</v>
      </c>
      <c r="D58" s="97" t="s">
        <v>33</v>
      </c>
      <c r="E58" s="97" t="s">
        <v>238</v>
      </c>
      <c r="F58" s="97" t="s">
        <v>34</v>
      </c>
      <c r="G58" s="99"/>
      <c r="H58" s="100"/>
      <c r="I58" s="101">
        <v>43497</v>
      </c>
      <c r="J58" s="102">
        <v>105</v>
      </c>
      <c r="M58" t="s">
        <v>59</v>
      </c>
      <c r="N58">
        <v>105</v>
      </c>
    </row>
    <row r="59" spans="1:15" x14ac:dyDescent="0.45">
      <c r="A59" s="96">
        <v>49</v>
      </c>
      <c r="B59" s="97" t="s">
        <v>203</v>
      </c>
      <c r="C59" s="98" t="s">
        <v>204</v>
      </c>
      <c r="D59" s="97" t="s">
        <v>349</v>
      </c>
      <c r="E59" s="97" t="s">
        <v>350</v>
      </c>
      <c r="F59" s="97" t="s">
        <v>246</v>
      </c>
      <c r="G59" s="99"/>
      <c r="H59" s="100"/>
      <c r="I59" s="101">
        <v>43217</v>
      </c>
      <c r="J59" s="102">
        <v>35</v>
      </c>
      <c r="M59" t="s">
        <v>553</v>
      </c>
      <c r="N59">
        <v>70</v>
      </c>
    </row>
    <row r="60" spans="1:15" x14ac:dyDescent="0.45">
      <c r="A60" s="96">
        <v>63</v>
      </c>
      <c r="B60" s="97" t="s">
        <v>203</v>
      </c>
      <c r="C60" s="98" t="s">
        <v>384</v>
      </c>
      <c r="D60" s="97" t="s">
        <v>82</v>
      </c>
      <c r="E60" s="106" t="s">
        <v>385</v>
      </c>
      <c r="F60" s="97" t="s">
        <v>386</v>
      </c>
      <c r="G60" s="107"/>
      <c r="H60" s="107"/>
      <c r="I60" s="104">
        <v>43490</v>
      </c>
      <c r="J60" s="102">
        <v>210</v>
      </c>
      <c r="M60" t="s">
        <v>515</v>
      </c>
      <c r="N60">
        <v>70</v>
      </c>
    </row>
    <row r="61" spans="1:15" x14ac:dyDescent="0.45">
      <c r="A61" s="96">
        <v>8</v>
      </c>
      <c r="B61" s="97" t="s">
        <v>222</v>
      </c>
      <c r="C61" s="98" t="s">
        <v>325</v>
      </c>
      <c r="D61" s="97" t="s">
        <v>471</v>
      </c>
      <c r="E61" s="97" t="s">
        <v>54</v>
      </c>
      <c r="F61" s="97" t="s">
        <v>55</v>
      </c>
      <c r="G61" s="99"/>
      <c r="H61" s="100"/>
      <c r="I61" s="101">
        <v>43493</v>
      </c>
      <c r="J61" s="102">
        <v>105</v>
      </c>
      <c r="M61" t="s">
        <v>554</v>
      </c>
      <c r="N61">
        <v>35</v>
      </c>
    </row>
    <row r="62" spans="1:15" x14ac:dyDescent="0.45">
      <c r="A62" s="96">
        <v>10</v>
      </c>
      <c r="B62" s="97" t="s">
        <v>219</v>
      </c>
      <c r="C62" s="98" t="s">
        <v>235</v>
      </c>
      <c r="D62" s="97" t="s">
        <v>35</v>
      </c>
      <c r="E62" s="97" t="s">
        <v>36</v>
      </c>
      <c r="F62" s="97" t="s">
        <v>37</v>
      </c>
      <c r="G62" s="99"/>
      <c r="H62" s="100"/>
      <c r="I62" s="101">
        <v>43503</v>
      </c>
      <c r="J62" s="102">
        <v>140</v>
      </c>
      <c r="M62" t="s">
        <v>555</v>
      </c>
      <c r="N62">
        <v>35</v>
      </c>
    </row>
    <row r="63" spans="1:15" x14ac:dyDescent="0.45">
      <c r="A63" s="96">
        <v>53</v>
      </c>
      <c r="B63" s="97" t="s">
        <v>203</v>
      </c>
      <c r="C63" s="98" t="s">
        <v>358</v>
      </c>
      <c r="D63" s="97" t="s">
        <v>359</v>
      </c>
      <c r="E63" s="97" t="s">
        <v>253</v>
      </c>
      <c r="F63" s="97" t="s">
        <v>360</v>
      </c>
      <c r="G63" s="99"/>
      <c r="H63" s="100"/>
      <c r="I63" s="101">
        <v>43536</v>
      </c>
      <c r="J63" s="102">
        <v>105</v>
      </c>
      <c r="M63" t="s">
        <v>51</v>
      </c>
      <c r="N63">
        <v>105</v>
      </c>
    </row>
    <row r="64" spans="1:15" x14ac:dyDescent="0.45">
      <c r="A64" s="96">
        <v>9</v>
      </c>
      <c r="B64" s="97" t="s">
        <v>200</v>
      </c>
      <c r="C64" s="98" t="s">
        <v>380</v>
      </c>
      <c r="D64" s="97" t="s">
        <v>107</v>
      </c>
      <c r="E64" s="97" t="s">
        <v>570</v>
      </c>
      <c r="F64" s="97" t="s">
        <v>571</v>
      </c>
      <c r="G64" s="99"/>
      <c r="H64" s="100"/>
      <c r="I64" s="101">
        <v>43493</v>
      </c>
      <c r="J64" s="102">
        <v>52.5</v>
      </c>
      <c r="M64" t="s">
        <v>518</v>
      </c>
      <c r="N64">
        <v>35</v>
      </c>
    </row>
    <row r="65" spans="1:14" x14ac:dyDescent="0.45">
      <c r="A65" s="96">
        <v>51</v>
      </c>
      <c r="B65" s="97" t="s">
        <v>302</v>
      </c>
      <c r="C65" s="98" t="s">
        <v>352</v>
      </c>
      <c r="D65" s="97" t="s">
        <v>353</v>
      </c>
      <c r="E65" s="97" t="s">
        <v>354</v>
      </c>
      <c r="F65" s="97" t="s">
        <v>70</v>
      </c>
      <c r="G65" s="99"/>
      <c r="H65" s="100"/>
      <c r="I65" s="101">
        <v>43501</v>
      </c>
      <c r="J65" s="102">
        <v>105</v>
      </c>
      <c r="M65" t="s">
        <v>559</v>
      </c>
      <c r="N65">
        <v>105</v>
      </c>
    </row>
    <row r="66" spans="1:14" x14ac:dyDescent="0.45">
      <c r="A66" s="96">
        <v>58</v>
      </c>
      <c r="B66" s="97" t="s">
        <v>262</v>
      </c>
      <c r="C66" s="98" t="s">
        <v>333</v>
      </c>
      <c r="D66" s="97" t="s">
        <v>371</v>
      </c>
      <c r="E66" s="97" t="s">
        <v>372</v>
      </c>
      <c r="F66" s="97" t="s">
        <v>34</v>
      </c>
      <c r="G66" s="99"/>
      <c r="H66" s="100"/>
      <c r="I66" s="101">
        <v>43504</v>
      </c>
      <c r="J66" s="102">
        <v>91</v>
      </c>
      <c r="M66" t="s">
        <v>520</v>
      </c>
      <c r="N66">
        <v>35</v>
      </c>
    </row>
    <row r="67" spans="1:14" x14ac:dyDescent="0.45">
      <c r="A67" s="96">
        <v>65</v>
      </c>
      <c r="B67" s="107" t="s">
        <v>200</v>
      </c>
      <c r="C67" s="107" t="s">
        <v>391</v>
      </c>
      <c r="D67" s="107" t="s">
        <v>83</v>
      </c>
      <c r="E67" s="106" t="s">
        <v>84</v>
      </c>
      <c r="F67" s="107" t="s">
        <v>85</v>
      </c>
      <c r="G67" s="107"/>
      <c r="H67" s="107"/>
      <c r="I67" s="104">
        <v>43490</v>
      </c>
      <c r="J67" s="131">
        <v>105</v>
      </c>
      <c r="M67" t="s">
        <v>79</v>
      </c>
      <c r="N67">
        <v>105</v>
      </c>
    </row>
    <row r="68" spans="1:14" x14ac:dyDescent="0.45">
      <c r="A68" s="96">
        <v>16</v>
      </c>
      <c r="B68" s="97" t="s">
        <v>200</v>
      </c>
      <c r="C68" s="98" t="s">
        <v>252</v>
      </c>
      <c r="D68" s="97" t="s">
        <v>31</v>
      </c>
      <c r="E68" s="97" t="s">
        <v>253</v>
      </c>
      <c r="F68" s="97" t="s">
        <v>32</v>
      </c>
      <c r="G68" s="99"/>
      <c r="H68" s="100"/>
      <c r="I68" s="101">
        <v>43497</v>
      </c>
      <c r="J68" s="102">
        <v>140</v>
      </c>
      <c r="M68" t="s">
        <v>522</v>
      </c>
      <c r="N68">
        <v>35</v>
      </c>
    </row>
    <row r="69" spans="1:14" x14ac:dyDescent="0.45">
      <c r="A69" s="96">
        <v>14</v>
      </c>
      <c r="B69" s="97" t="s">
        <v>219</v>
      </c>
      <c r="C69" s="98" t="s">
        <v>46</v>
      </c>
      <c r="D69" s="97" t="s">
        <v>247</v>
      </c>
      <c r="E69" s="97" t="s">
        <v>248</v>
      </c>
      <c r="F69" s="97" t="s">
        <v>249</v>
      </c>
      <c r="G69" s="99"/>
      <c r="H69" s="100"/>
      <c r="I69" s="101">
        <v>43497</v>
      </c>
      <c r="J69" s="102">
        <v>91</v>
      </c>
      <c r="M69" t="s">
        <v>568</v>
      </c>
      <c r="N69">
        <v>70</v>
      </c>
    </row>
    <row r="70" spans="1:14" x14ac:dyDescent="0.45">
      <c r="A70" s="96">
        <v>87</v>
      </c>
      <c r="B70" s="97" t="s">
        <v>200</v>
      </c>
      <c r="C70" s="98" t="s">
        <v>296</v>
      </c>
      <c r="D70" s="97" t="s">
        <v>38</v>
      </c>
      <c r="E70" s="97" t="s">
        <v>455</v>
      </c>
      <c r="F70" s="97" t="s">
        <v>456</v>
      </c>
      <c r="G70" s="99"/>
      <c r="H70" s="100"/>
      <c r="I70" s="101">
        <v>43490</v>
      </c>
      <c r="J70" s="102">
        <v>105</v>
      </c>
      <c r="M70" t="s">
        <v>569</v>
      </c>
      <c r="N70">
        <v>70</v>
      </c>
    </row>
    <row r="71" spans="1:14" x14ac:dyDescent="0.45">
      <c r="A71" s="96">
        <v>86</v>
      </c>
      <c r="B71" s="97" t="s">
        <v>208</v>
      </c>
      <c r="C71" s="98" t="s">
        <v>204</v>
      </c>
      <c r="D71" s="97" t="s">
        <v>454</v>
      </c>
      <c r="E71" s="97" t="s">
        <v>406</v>
      </c>
      <c r="F71" s="97" t="s">
        <v>114</v>
      </c>
      <c r="G71" s="99"/>
      <c r="H71" s="100"/>
      <c r="I71" s="101">
        <v>43217</v>
      </c>
      <c r="J71" s="102">
        <v>35</v>
      </c>
      <c r="M71" t="s">
        <v>572</v>
      </c>
      <c r="N71">
        <v>105</v>
      </c>
    </row>
    <row r="72" spans="1:14" x14ac:dyDescent="0.45">
      <c r="A72" s="96">
        <v>59</v>
      </c>
      <c r="B72" s="97" t="s">
        <v>203</v>
      </c>
      <c r="C72" s="98" t="s">
        <v>551</v>
      </c>
      <c r="D72" s="97" t="s">
        <v>39</v>
      </c>
      <c r="E72" s="125">
        <v>4</v>
      </c>
      <c r="F72" s="97" t="s">
        <v>453</v>
      </c>
      <c r="G72" s="107"/>
      <c r="H72" s="107"/>
      <c r="I72" s="104">
        <v>43497</v>
      </c>
      <c r="J72" s="131">
        <v>70</v>
      </c>
      <c r="M72" t="s">
        <v>115</v>
      </c>
      <c r="N72">
        <v>17.5</v>
      </c>
    </row>
    <row r="73" spans="1:14" x14ac:dyDescent="0.45">
      <c r="A73" s="96">
        <v>72</v>
      </c>
      <c r="B73" s="98" t="s">
        <v>203</v>
      </c>
      <c r="C73" s="98" t="s">
        <v>414</v>
      </c>
      <c r="D73" s="98" t="s">
        <v>40</v>
      </c>
      <c r="E73" s="98" t="s">
        <v>415</v>
      </c>
      <c r="F73" s="98" t="s">
        <v>397</v>
      </c>
      <c r="G73" s="99"/>
      <c r="H73" s="100"/>
      <c r="I73" s="101">
        <v>43496</v>
      </c>
      <c r="J73" s="102">
        <v>105</v>
      </c>
      <c r="N73">
        <f>SUM(N51:N72)</f>
        <v>1613.5</v>
      </c>
    </row>
    <row r="74" spans="1:14" x14ac:dyDescent="0.45">
      <c r="A74" s="96">
        <v>64</v>
      </c>
      <c r="B74" s="98" t="s">
        <v>203</v>
      </c>
      <c r="C74" s="98" t="s">
        <v>335</v>
      </c>
      <c r="D74" s="98" t="s">
        <v>42</v>
      </c>
      <c r="E74" s="98" t="s">
        <v>460</v>
      </c>
      <c r="F74" s="98" t="s">
        <v>43</v>
      </c>
      <c r="G74" s="99"/>
      <c r="H74" s="100"/>
      <c r="I74" s="101">
        <v>43490</v>
      </c>
      <c r="J74" s="102">
        <v>105</v>
      </c>
    </row>
    <row r="75" spans="1:14" x14ac:dyDescent="0.45">
      <c r="A75" s="96">
        <v>55</v>
      </c>
      <c r="B75" s="107" t="s">
        <v>242</v>
      </c>
      <c r="C75" s="107" t="s">
        <v>410</v>
      </c>
      <c r="D75" s="107" t="s">
        <v>411</v>
      </c>
      <c r="E75" s="106" t="s">
        <v>412</v>
      </c>
      <c r="F75" s="107" t="s">
        <v>114</v>
      </c>
      <c r="G75" s="107"/>
      <c r="H75" s="107"/>
      <c r="I75" s="104">
        <v>43500</v>
      </c>
      <c r="J75" s="131">
        <v>210</v>
      </c>
    </row>
    <row r="76" spans="1:14" x14ac:dyDescent="0.45">
      <c r="A76" s="96">
        <v>24</v>
      </c>
      <c r="B76" s="97" t="s">
        <v>219</v>
      </c>
      <c r="C76" s="98" t="s">
        <v>413</v>
      </c>
      <c r="D76" s="97" t="s">
        <v>408</v>
      </c>
      <c r="E76" s="97" t="s">
        <v>389</v>
      </c>
      <c r="F76" s="97" t="s">
        <v>6</v>
      </c>
      <c r="G76" s="99"/>
      <c r="H76" s="100"/>
      <c r="I76" s="101">
        <v>43497</v>
      </c>
      <c r="J76" s="102">
        <v>91</v>
      </c>
    </row>
    <row r="77" spans="1:14" x14ac:dyDescent="0.45">
      <c r="A77" s="96">
        <v>31</v>
      </c>
      <c r="B77" s="97" t="s">
        <v>200</v>
      </c>
      <c r="C77" s="98" t="s">
        <v>438</v>
      </c>
      <c r="D77" s="97" t="s">
        <v>439</v>
      </c>
      <c r="E77" s="97" t="s">
        <v>260</v>
      </c>
      <c r="F77" s="97" t="s">
        <v>76</v>
      </c>
      <c r="G77" s="99"/>
      <c r="H77" s="100"/>
      <c r="I77" s="101">
        <v>43229</v>
      </c>
      <c r="J77" s="102">
        <v>35</v>
      </c>
    </row>
    <row r="78" spans="1:14" x14ac:dyDescent="0.45">
      <c r="A78" s="96">
        <v>15</v>
      </c>
      <c r="B78" s="97" t="s">
        <v>298</v>
      </c>
      <c r="C78" s="98" t="s">
        <v>497</v>
      </c>
      <c r="D78" s="97" t="s">
        <v>87</v>
      </c>
      <c r="E78" s="97" t="s">
        <v>455</v>
      </c>
      <c r="F78" s="97" t="s">
        <v>88</v>
      </c>
      <c r="G78" s="99"/>
      <c r="H78" s="100"/>
      <c r="I78" s="101">
        <v>43483</v>
      </c>
      <c r="J78" s="102">
        <v>105</v>
      </c>
    </row>
    <row r="79" spans="1:14" x14ac:dyDescent="0.45">
      <c r="A79" s="96">
        <v>61</v>
      </c>
      <c r="B79" s="142" t="s">
        <v>203</v>
      </c>
      <c r="C79" s="142" t="s">
        <v>579</v>
      </c>
      <c r="D79" s="142" t="s">
        <v>549</v>
      </c>
      <c r="E79" s="142" t="s">
        <v>580</v>
      </c>
      <c r="F79" s="143" t="s">
        <v>18</v>
      </c>
      <c r="G79" s="99"/>
      <c r="H79" s="100"/>
      <c r="I79" s="101">
        <v>43500</v>
      </c>
      <c r="J79" s="102">
        <v>70</v>
      </c>
    </row>
    <row r="80" spans="1:14" x14ac:dyDescent="0.45">
      <c r="A80" s="96">
        <v>88</v>
      </c>
      <c r="B80" s="97"/>
      <c r="C80" s="98"/>
      <c r="D80" s="120"/>
      <c r="E80" s="97"/>
      <c r="F80" s="97"/>
      <c r="G80" s="286" t="s">
        <v>506</v>
      </c>
      <c r="H80" s="287"/>
      <c r="I80" s="101">
        <v>43313</v>
      </c>
      <c r="J80" s="102">
        <v>863.5</v>
      </c>
    </row>
    <row r="81" spans="1:14" x14ac:dyDescent="0.45">
      <c r="A81" s="96">
        <v>80</v>
      </c>
      <c r="B81" s="97"/>
      <c r="C81" s="98"/>
      <c r="D81" s="97"/>
      <c r="E81" s="97"/>
      <c r="F81" s="97"/>
      <c r="G81" s="286" t="s">
        <v>506</v>
      </c>
      <c r="H81" s="287"/>
      <c r="I81" s="101">
        <v>43497</v>
      </c>
      <c r="J81" s="102">
        <v>750</v>
      </c>
    </row>
    <row r="82" spans="1:14" x14ac:dyDescent="0.45">
      <c r="A82" s="96">
        <v>76</v>
      </c>
      <c r="J82" s="117">
        <f>SUM(J1:J81)</f>
        <v>9989</v>
      </c>
    </row>
    <row r="83" spans="1:14" x14ac:dyDescent="0.45">
      <c r="A83" s="96">
        <v>89</v>
      </c>
      <c r="B83" s="98"/>
      <c r="C83" s="98"/>
      <c r="D83" s="98"/>
      <c r="E83" s="98"/>
      <c r="F83" s="98"/>
      <c r="G83" s="99"/>
      <c r="H83" s="100"/>
      <c r="I83" s="101"/>
      <c r="J83" s="102"/>
    </row>
    <row r="84" spans="1:14" x14ac:dyDescent="0.45">
      <c r="A84" s="96">
        <v>85</v>
      </c>
      <c r="B84" s="97"/>
      <c r="C84" s="98"/>
      <c r="D84" s="97"/>
      <c r="E84" s="97"/>
      <c r="F84" s="97"/>
      <c r="G84" s="99"/>
      <c r="H84" s="100"/>
      <c r="I84" s="101"/>
      <c r="J84" s="102"/>
      <c r="M84" t="s">
        <v>464</v>
      </c>
    </row>
    <row r="85" spans="1:14" x14ac:dyDescent="0.45">
      <c r="A85" s="96">
        <v>25</v>
      </c>
      <c r="B85" s="97"/>
      <c r="C85" s="98"/>
      <c r="D85" s="97"/>
      <c r="E85" s="97"/>
      <c r="F85" s="97"/>
      <c r="G85" s="7" t="s">
        <v>506</v>
      </c>
      <c r="H85" s="100"/>
      <c r="I85" s="101"/>
      <c r="J85" s="102"/>
      <c r="M85">
        <f>J87/100*25</f>
        <v>2497.25</v>
      </c>
    </row>
    <row r="86" spans="1:14" x14ac:dyDescent="0.45">
      <c r="A86" s="96">
        <v>74</v>
      </c>
    </row>
    <row r="87" spans="1:14" x14ac:dyDescent="0.45">
      <c r="A87" s="96">
        <v>73</v>
      </c>
      <c r="B87" s="97"/>
      <c r="C87" s="98"/>
      <c r="D87" s="97"/>
      <c r="E87" s="97"/>
      <c r="F87" s="97"/>
      <c r="G87" s="99"/>
      <c r="H87" s="100"/>
      <c r="I87" s="101"/>
      <c r="J87" s="102">
        <f>SUM(J82:J86)</f>
        <v>9989</v>
      </c>
    </row>
    <row r="88" spans="1:14" x14ac:dyDescent="0.45">
      <c r="A88" s="96">
        <v>75</v>
      </c>
      <c r="C88" s="118" t="s">
        <v>505</v>
      </c>
      <c r="D88" s="153">
        <v>44616</v>
      </c>
    </row>
    <row r="89" spans="1:14" x14ac:dyDescent="0.45">
      <c r="A89" s="96">
        <v>90</v>
      </c>
    </row>
    <row r="90" spans="1:14" ht="34.9" x14ac:dyDescent="0.45">
      <c r="A90" s="96">
        <v>54</v>
      </c>
      <c r="M90" s="151" t="s">
        <v>506</v>
      </c>
      <c r="N90" s="152"/>
    </row>
    <row r="91" spans="1:14" x14ac:dyDescent="0.45">
      <c r="A91" s="96">
        <v>91</v>
      </c>
    </row>
    <row r="92" spans="1:14" x14ac:dyDescent="0.45">
      <c r="A92" s="96">
        <v>92</v>
      </c>
    </row>
    <row r="93" spans="1:14" x14ac:dyDescent="0.45">
      <c r="A93" s="96">
        <v>93</v>
      </c>
      <c r="C93" t="s">
        <v>613</v>
      </c>
      <c r="E93" s="117">
        <f>10518.5-J87</f>
        <v>529.5</v>
      </c>
    </row>
    <row r="94" spans="1:14" x14ac:dyDescent="0.45">
      <c r="A94" s="96">
        <v>94</v>
      </c>
    </row>
    <row r="95" spans="1:14" x14ac:dyDescent="0.45">
      <c r="A95" s="96">
        <v>95</v>
      </c>
      <c r="L95" s="117"/>
    </row>
    <row r="96" spans="1:14" x14ac:dyDescent="0.45">
      <c r="A96" s="96">
        <v>96</v>
      </c>
      <c r="C96" s="138" t="s">
        <v>626</v>
      </c>
      <c r="D96" s="154">
        <v>44622</v>
      </c>
      <c r="E96" s="155">
        <v>2533.59</v>
      </c>
    </row>
    <row r="97" spans="1:1" ht="14.45" customHeight="1" x14ac:dyDescent="0.45">
      <c r="A97" s="96">
        <v>97</v>
      </c>
    </row>
  </sheetData>
  <sortState xmlns:xlrd2="http://schemas.microsoft.com/office/spreadsheetml/2017/richdata2" ref="A1:P97">
    <sortCondition ref="D1:D97"/>
  </sortState>
  <mergeCells count="2">
    <mergeCell ref="G80:H80"/>
    <mergeCell ref="G81:H81"/>
  </mergeCells>
  <pageMargins left="0.7" right="0.7" top="0.75" bottom="0.75" header="0.3" footer="0.3"/>
  <pageSetup paperSize="9" scale="48"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P121"/>
  <sheetViews>
    <sheetView topLeftCell="A64" workbookViewId="0">
      <selection activeCell="A97" sqref="A97:B98"/>
    </sheetView>
  </sheetViews>
  <sheetFormatPr defaultRowHeight="14.25" x14ac:dyDescent="0.45"/>
  <cols>
    <col min="1" max="1" width="9" bestFit="1" customWidth="1"/>
    <col min="3" max="3" width="18.1328125" customWidth="1"/>
    <col min="4" max="4" width="20.33203125" customWidth="1"/>
    <col min="5" max="5" width="26.33203125" bestFit="1" customWidth="1"/>
    <col min="6" max="6" width="11" bestFit="1" customWidth="1"/>
    <col min="9" max="9" width="11" bestFit="1" customWidth="1"/>
    <col min="10" max="10" width="9" bestFit="1" customWidth="1"/>
    <col min="13" max="13" width="10.53125" bestFit="1" customWidth="1"/>
    <col min="15" max="15" width="10.53125" bestFit="1" customWidth="1"/>
  </cols>
  <sheetData>
    <row r="1" spans="1:15" x14ac:dyDescent="0.45">
      <c r="A1" s="96">
        <v>3</v>
      </c>
      <c r="B1" s="97" t="s">
        <v>203</v>
      </c>
      <c r="C1" s="98" t="s">
        <v>373</v>
      </c>
      <c r="D1" s="97" t="s">
        <v>590</v>
      </c>
      <c r="E1" s="97" t="s">
        <v>211</v>
      </c>
      <c r="F1" s="97" t="s">
        <v>66</v>
      </c>
      <c r="G1" s="99"/>
      <c r="H1" s="100"/>
      <c r="I1" s="147">
        <v>43781</v>
      </c>
      <c r="J1" s="102">
        <v>57.5</v>
      </c>
      <c r="O1" s="9"/>
    </row>
    <row r="2" spans="1:15" x14ac:dyDescent="0.45">
      <c r="A2" s="96">
        <v>1</v>
      </c>
      <c r="B2" s="97" t="s">
        <v>203</v>
      </c>
      <c r="C2" s="98" t="s">
        <v>440</v>
      </c>
      <c r="D2" s="97" t="s">
        <v>49</v>
      </c>
      <c r="E2" s="97" t="s">
        <v>211</v>
      </c>
      <c r="F2" s="97" t="s">
        <v>249</v>
      </c>
      <c r="G2" s="99"/>
      <c r="H2" s="100"/>
      <c r="I2" s="101">
        <v>43579</v>
      </c>
      <c r="J2" s="102">
        <v>35</v>
      </c>
    </row>
    <row r="3" spans="1:15" x14ac:dyDescent="0.45">
      <c r="A3" s="96">
        <v>2</v>
      </c>
      <c r="B3" s="97" t="s">
        <v>298</v>
      </c>
      <c r="C3" s="98" t="s">
        <v>321</v>
      </c>
      <c r="D3" s="97" t="s">
        <v>1</v>
      </c>
      <c r="E3" s="97" t="s">
        <v>322</v>
      </c>
      <c r="F3" s="97" t="s">
        <v>2</v>
      </c>
      <c r="G3" s="99"/>
      <c r="H3" s="100"/>
      <c r="I3" s="101">
        <v>43858</v>
      </c>
      <c r="J3" s="102">
        <v>140</v>
      </c>
    </row>
    <row r="4" spans="1:15" x14ac:dyDescent="0.45">
      <c r="A4" s="96">
        <v>4</v>
      </c>
      <c r="B4" s="97" t="s">
        <v>219</v>
      </c>
      <c r="C4" s="98" t="s">
        <v>383</v>
      </c>
      <c r="D4" s="97" t="s">
        <v>3</v>
      </c>
      <c r="E4" s="97" t="s">
        <v>372</v>
      </c>
      <c r="F4" s="97" t="s">
        <v>4</v>
      </c>
      <c r="G4" s="99"/>
      <c r="H4" s="100"/>
      <c r="I4" s="101">
        <v>43896</v>
      </c>
      <c r="J4" s="102">
        <v>140</v>
      </c>
    </row>
    <row r="5" spans="1:15" x14ac:dyDescent="0.45">
      <c r="A5" s="96">
        <v>6</v>
      </c>
      <c r="B5" s="97" t="s">
        <v>203</v>
      </c>
      <c r="C5" s="98" t="s">
        <v>479</v>
      </c>
      <c r="D5" s="97" t="s">
        <v>556</v>
      </c>
      <c r="E5" s="125">
        <v>6</v>
      </c>
      <c r="F5" s="107" t="s">
        <v>66</v>
      </c>
      <c r="G5" s="99"/>
      <c r="H5" s="100"/>
      <c r="I5" s="101">
        <v>43864</v>
      </c>
      <c r="J5" s="102">
        <v>105</v>
      </c>
    </row>
    <row r="6" spans="1:15" x14ac:dyDescent="0.45">
      <c r="A6" s="96">
        <v>8</v>
      </c>
      <c r="B6" s="97" t="s">
        <v>222</v>
      </c>
      <c r="C6" s="98" t="s">
        <v>275</v>
      </c>
      <c r="D6" s="97" t="s">
        <v>442</v>
      </c>
      <c r="E6" s="97" t="s">
        <v>396</v>
      </c>
      <c r="F6" s="97" t="s">
        <v>68</v>
      </c>
      <c r="G6" s="99"/>
      <c r="H6" s="100"/>
      <c r="I6" s="101">
        <v>43865</v>
      </c>
      <c r="J6" s="102">
        <v>105</v>
      </c>
    </row>
    <row r="7" spans="1:15" x14ac:dyDescent="0.45">
      <c r="A7" s="96">
        <v>9</v>
      </c>
      <c r="B7" s="97" t="s">
        <v>200</v>
      </c>
      <c r="C7" s="98" t="s">
        <v>201</v>
      </c>
      <c r="D7" s="97" t="s">
        <v>5</v>
      </c>
      <c r="E7" s="97" t="s">
        <v>202</v>
      </c>
      <c r="F7" s="97" t="s">
        <v>6</v>
      </c>
      <c r="G7" s="99"/>
      <c r="H7" s="100"/>
      <c r="I7" s="101">
        <v>43868</v>
      </c>
      <c r="J7" s="102">
        <v>105</v>
      </c>
    </row>
    <row r="8" spans="1:15" x14ac:dyDescent="0.45">
      <c r="A8" s="96">
        <v>10</v>
      </c>
      <c r="B8" s="97" t="s">
        <v>222</v>
      </c>
      <c r="C8" s="98" t="s">
        <v>418</v>
      </c>
      <c r="D8" s="103" t="s">
        <v>419</v>
      </c>
      <c r="E8" s="97" t="s">
        <v>56</v>
      </c>
      <c r="F8" s="97" t="s">
        <v>57</v>
      </c>
      <c r="G8" s="99"/>
      <c r="H8" s="100"/>
      <c r="I8" s="101">
        <v>43871</v>
      </c>
      <c r="J8" s="102">
        <v>105</v>
      </c>
    </row>
    <row r="9" spans="1:15" x14ac:dyDescent="0.45">
      <c r="A9" s="96">
        <v>15</v>
      </c>
      <c r="B9" s="97" t="s">
        <v>200</v>
      </c>
      <c r="C9" s="98" t="s">
        <v>213</v>
      </c>
      <c r="D9" s="97" t="s">
        <v>17</v>
      </c>
      <c r="E9" s="97" t="s">
        <v>544</v>
      </c>
      <c r="F9" s="97" t="s">
        <v>360</v>
      </c>
      <c r="G9" s="99"/>
      <c r="H9" s="100"/>
      <c r="I9" s="147">
        <v>43868</v>
      </c>
      <c r="J9" s="102">
        <v>105</v>
      </c>
    </row>
    <row r="10" spans="1:15" x14ac:dyDescent="0.45">
      <c r="A10" s="96">
        <v>11</v>
      </c>
      <c r="B10" s="98" t="s">
        <v>200</v>
      </c>
      <c r="C10" s="98" t="s">
        <v>293</v>
      </c>
      <c r="D10" s="98" t="s">
        <v>294</v>
      </c>
      <c r="E10" s="98" t="s">
        <v>295</v>
      </c>
      <c r="F10" s="98" t="s">
        <v>8</v>
      </c>
      <c r="G10" s="99"/>
      <c r="H10" s="100"/>
      <c r="I10" s="101">
        <v>43892</v>
      </c>
      <c r="J10" s="102">
        <v>105</v>
      </c>
    </row>
    <row r="11" spans="1:15" x14ac:dyDescent="0.45">
      <c r="A11" s="96">
        <v>18</v>
      </c>
      <c r="B11" s="142" t="s">
        <v>203</v>
      </c>
      <c r="C11" s="142" t="s">
        <v>579</v>
      </c>
      <c r="D11" s="142" t="s">
        <v>549</v>
      </c>
      <c r="E11" s="142" t="s">
        <v>580</v>
      </c>
      <c r="F11" s="143" t="s">
        <v>18</v>
      </c>
      <c r="G11" s="99"/>
      <c r="H11" s="100"/>
      <c r="I11" s="147">
        <v>43861</v>
      </c>
      <c r="J11" s="102">
        <v>105</v>
      </c>
    </row>
    <row r="12" spans="1:15" x14ac:dyDescent="0.45">
      <c r="A12" s="96">
        <v>12</v>
      </c>
      <c r="B12" s="97" t="s">
        <v>219</v>
      </c>
      <c r="C12" s="98" t="s">
        <v>484</v>
      </c>
      <c r="D12" s="97" t="s">
        <v>69</v>
      </c>
      <c r="E12" s="125">
        <v>33</v>
      </c>
      <c r="F12" s="97" t="s">
        <v>70</v>
      </c>
      <c r="G12" s="99"/>
      <c r="H12" s="100"/>
      <c r="I12" s="101">
        <v>43864</v>
      </c>
      <c r="J12" s="102">
        <v>105</v>
      </c>
    </row>
    <row r="13" spans="1:15" x14ac:dyDescent="0.45">
      <c r="A13" s="96">
        <v>13</v>
      </c>
      <c r="B13" s="109" t="s">
        <v>222</v>
      </c>
      <c r="C13" s="109" t="s">
        <v>289</v>
      </c>
      <c r="D13" s="109" t="s">
        <v>52</v>
      </c>
      <c r="E13" s="141" t="s">
        <v>396</v>
      </c>
      <c r="F13" s="141" t="s">
        <v>53</v>
      </c>
      <c r="G13" s="99"/>
      <c r="H13" s="100"/>
      <c r="I13" s="147">
        <v>43869</v>
      </c>
      <c r="J13" s="102">
        <v>105</v>
      </c>
    </row>
    <row r="14" spans="1:15" x14ac:dyDescent="0.45">
      <c r="A14" s="96">
        <v>14</v>
      </c>
      <c r="B14" s="97" t="s">
        <v>219</v>
      </c>
      <c r="C14" s="98" t="s">
        <v>105</v>
      </c>
      <c r="D14" s="97" t="s">
        <v>90</v>
      </c>
      <c r="E14" s="97" t="s">
        <v>557</v>
      </c>
      <c r="F14" s="97" t="s">
        <v>558</v>
      </c>
      <c r="G14" s="99"/>
      <c r="H14" s="100"/>
      <c r="I14" s="101">
        <v>43857</v>
      </c>
      <c r="J14" s="102">
        <v>105</v>
      </c>
    </row>
    <row r="15" spans="1:15" x14ac:dyDescent="0.45">
      <c r="A15" s="96">
        <v>19</v>
      </c>
      <c r="B15" s="97" t="s">
        <v>219</v>
      </c>
      <c r="C15" s="98" t="s">
        <v>602</v>
      </c>
      <c r="D15" s="97" t="s">
        <v>601</v>
      </c>
      <c r="E15" s="97" t="s">
        <v>211</v>
      </c>
      <c r="F15" s="97" t="s">
        <v>230</v>
      </c>
      <c r="G15" s="107"/>
      <c r="H15" s="107"/>
      <c r="I15" s="148">
        <v>43850</v>
      </c>
      <c r="J15" s="102">
        <v>70</v>
      </c>
    </row>
    <row r="16" spans="1:15" x14ac:dyDescent="0.45">
      <c r="A16" s="96">
        <v>16</v>
      </c>
      <c r="B16" s="107" t="s">
        <v>203</v>
      </c>
      <c r="C16" s="107" t="s">
        <v>472</v>
      </c>
      <c r="D16" s="107" t="s">
        <v>91</v>
      </c>
      <c r="E16" s="125">
        <v>48</v>
      </c>
      <c r="F16" s="107" t="s">
        <v>6</v>
      </c>
      <c r="G16" s="99"/>
      <c r="H16" s="100"/>
      <c r="I16" s="101">
        <v>43861</v>
      </c>
      <c r="J16" s="102">
        <v>105</v>
      </c>
    </row>
    <row r="17" spans="1:10" x14ac:dyDescent="0.45">
      <c r="A17" s="96">
        <v>17</v>
      </c>
      <c r="B17" s="97" t="s">
        <v>298</v>
      </c>
      <c r="C17" s="98" t="s">
        <v>420</v>
      </c>
      <c r="D17" s="97" t="s">
        <v>10</v>
      </c>
      <c r="E17" s="97" t="s">
        <v>421</v>
      </c>
      <c r="F17" s="97" t="s">
        <v>11</v>
      </c>
      <c r="G17" s="99"/>
      <c r="H17" s="100"/>
      <c r="I17" s="101">
        <v>43858</v>
      </c>
      <c r="J17" s="102">
        <v>105</v>
      </c>
    </row>
    <row r="18" spans="1:10" x14ac:dyDescent="0.45">
      <c r="A18" s="96">
        <v>20</v>
      </c>
      <c r="B18" s="97" t="s">
        <v>200</v>
      </c>
      <c r="C18" s="98" t="s">
        <v>443</v>
      </c>
      <c r="D18" s="97" t="s">
        <v>71</v>
      </c>
      <c r="E18" s="97" t="s">
        <v>444</v>
      </c>
      <c r="F18" s="97" t="s">
        <v>72</v>
      </c>
      <c r="G18" s="99"/>
      <c r="H18" s="100"/>
      <c r="I18" s="101">
        <v>43864</v>
      </c>
      <c r="J18" s="102">
        <v>210</v>
      </c>
    </row>
    <row r="19" spans="1:10" s="120" customFormat="1" ht="13.9" x14ac:dyDescent="0.4">
      <c r="A19" s="96">
        <v>21</v>
      </c>
      <c r="B19" s="108" t="s">
        <v>222</v>
      </c>
      <c r="C19" s="109" t="s">
        <v>323</v>
      </c>
      <c r="D19" s="108" t="s">
        <v>324</v>
      </c>
      <c r="E19" s="126" t="s">
        <v>253</v>
      </c>
      <c r="F19" s="108" t="s">
        <v>32</v>
      </c>
      <c r="G19" s="128"/>
      <c r="H19" s="129"/>
      <c r="I19" s="130">
        <v>43871</v>
      </c>
      <c r="J19" s="112">
        <v>210</v>
      </c>
    </row>
    <row r="20" spans="1:10" x14ac:dyDescent="0.45">
      <c r="A20" s="96">
        <v>22</v>
      </c>
      <c r="B20" s="98" t="s">
        <v>219</v>
      </c>
      <c r="C20" s="98" t="s">
        <v>28</v>
      </c>
      <c r="D20" s="98" t="s">
        <v>13</v>
      </c>
      <c r="E20" s="98" t="s">
        <v>14</v>
      </c>
      <c r="F20" s="98" t="s">
        <v>15</v>
      </c>
      <c r="G20" s="99"/>
      <c r="H20" s="100"/>
      <c r="I20" s="101">
        <v>43865</v>
      </c>
      <c r="J20" s="102">
        <v>210</v>
      </c>
    </row>
    <row r="21" spans="1:10" x14ac:dyDescent="0.45">
      <c r="A21" s="96">
        <v>23</v>
      </c>
      <c r="B21" s="98" t="s">
        <v>298</v>
      </c>
      <c r="C21" s="98" t="s">
        <v>377</v>
      </c>
      <c r="D21" s="98" t="s">
        <v>73</v>
      </c>
      <c r="E21" s="98" t="s">
        <v>533</v>
      </c>
      <c r="F21" s="98" t="s">
        <v>74</v>
      </c>
      <c r="G21" s="99"/>
      <c r="H21" s="100"/>
      <c r="I21" s="101">
        <v>43864</v>
      </c>
      <c r="J21" s="102">
        <v>105</v>
      </c>
    </row>
    <row r="22" spans="1:10" x14ac:dyDescent="0.45">
      <c r="A22" s="96">
        <v>25</v>
      </c>
      <c r="B22" s="97" t="s">
        <v>222</v>
      </c>
      <c r="C22" s="98" t="s">
        <v>333</v>
      </c>
      <c r="D22" s="103" t="s">
        <v>75</v>
      </c>
      <c r="E22" s="97" t="s">
        <v>334</v>
      </c>
      <c r="F22" s="97" t="s">
        <v>76</v>
      </c>
      <c r="G22" s="99"/>
      <c r="H22" s="100"/>
      <c r="I22" s="101">
        <v>43865</v>
      </c>
      <c r="J22" s="102">
        <v>210</v>
      </c>
    </row>
    <row r="23" spans="1:10" x14ac:dyDescent="0.45">
      <c r="A23" s="96">
        <v>27</v>
      </c>
      <c r="B23" s="97" t="s">
        <v>222</v>
      </c>
      <c r="C23" s="98" t="s">
        <v>296</v>
      </c>
      <c r="D23" s="103" t="s">
        <v>16</v>
      </c>
      <c r="E23" s="97" t="s">
        <v>297</v>
      </c>
      <c r="F23" s="97" t="s">
        <v>18</v>
      </c>
      <c r="G23" s="99"/>
      <c r="H23" s="100"/>
      <c r="I23" s="101">
        <v>43861</v>
      </c>
      <c r="J23" s="102">
        <v>105</v>
      </c>
    </row>
    <row r="24" spans="1:10" x14ac:dyDescent="0.45">
      <c r="A24" s="96">
        <v>28</v>
      </c>
      <c r="B24" s="97" t="s">
        <v>203</v>
      </c>
      <c r="C24" s="98" t="s">
        <v>335</v>
      </c>
      <c r="D24" s="103" t="s">
        <v>336</v>
      </c>
      <c r="E24" s="97" t="s">
        <v>337</v>
      </c>
      <c r="F24" s="97" t="s">
        <v>338</v>
      </c>
      <c r="G24" s="99"/>
      <c r="H24" s="100"/>
      <c r="I24" s="101">
        <v>43581</v>
      </c>
      <c r="J24" s="102">
        <v>0</v>
      </c>
    </row>
    <row r="25" spans="1:10" x14ac:dyDescent="0.45">
      <c r="A25" s="96">
        <v>29</v>
      </c>
      <c r="B25" s="97" t="s">
        <v>203</v>
      </c>
      <c r="C25" s="98" t="s">
        <v>509</v>
      </c>
      <c r="D25" s="97" t="s">
        <v>95</v>
      </c>
      <c r="E25" s="97" t="s">
        <v>510</v>
      </c>
      <c r="F25" s="97" t="s">
        <v>511</v>
      </c>
      <c r="G25" s="99"/>
      <c r="H25" s="100"/>
      <c r="I25" s="101">
        <v>43858</v>
      </c>
      <c r="J25" s="102">
        <v>210</v>
      </c>
    </row>
    <row r="26" spans="1:10" x14ac:dyDescent="0.45">
      <c r="A26" s="96">
        <v>26</v>
      </c>
      <c r="B26" s="97" t="s">
        <v>203</v>
      </c>
      <c r="C26" s="98" t="s">
        <v>581</v>
      </c>
      <c r="D26" s="97" t="s">
        <v>19</v>
      </c>
      <c r="E26" s="97" t="s">
        <v>441</v>
      </c>
      <c r="F26" s="97" t="s">
        <v>582</v>
      </c>
      <c r="G26" s="99"/>
      <c r="H26" s="100"/>
      <c r="I26" s="147">
        <v>43865</v>
      </c>
      <c r="J26" s="102">
        <v>140</v>
      </c>
    </row>
    <row r="27" spans="1:10" x14ac:dyDescent="0.45">
      <c r="A27" s="96">
        <v>30</v>
      </c>
      <c r="B27" s="97" t="s">
        <v>219</v>
      </c>
      <c r="C27" s="98" t="s">
        <v>330</v>
      </c>
      <c r="D27" s="97" t="s">
        <v>46</v>
      </c>
      <c r="E27" s="97" t="s">
        <v>331</v>
      </c>
      <c r="F27" s="97" t="s">
        <v>332</v>
      </c>
      <c r="G27" s="99"/>
      <c r="H27" s="100"/>
      <c r="I27" s="101">
        <v>43526</v>
      </c>
      <c r="J27" s="102">
        <v>35</v>
      </c>
    </row>
    <row r="28" spans="1:10" x14ac:dyDescent="0.45">
      <c r="A28" s="96">
        <v>31</v>
      </c>
      <c r="B28" s="98" t="s">
        <v>222</v>
      </c>
      <c r="C28" s="98" t="s">
        <v>201</v>
      </c>
      <c r="D28" s="98" t="s">
        <v>502</v>
      </c>
      <c r="E28" s="98" t="s">
        <v>503</v>
      </c>
      <c r="F28" s="105" t="s">
        <v>329</v>
      </c>
      <c r="G28" s="99"/>
      <c r="H28" s="100"/>
      <c r="I28" s="101">
        <v>43864</v>
      </c>
      <c r="J28" s="102">
        <v>105</v>
      </c>
    </row>
    <row r="29" spans="1:10" x14ac:dyDescent="0.45">
      <c r="A29" s="96">
        <v>32</v>
      </c>
      <c r="B29" s="98" t="s">
        <v>222</v>
      </c>
      <c r="C29" s="98" t="s">
        <v>583</v>
      </c>
      <c r="D29" s="105" t="s">
        <v>502</v>
      </c>
      <c r="E29" s="98" t="s">
        <v>584</v>
      </c>
      <c r="F29" s="98" t="s">
        <v>26</v>
      </c>
      <c r="G29" s="99"/>
      <c r="H29" s="100"/>
      <c r="I29" s="147">
        <v>43859</v>
      </c>
      <c r="J29" s="102">
        <v>35</v>
      </c>
    </row>
    <row r="30" spans="1:10" x14ac:dyDescent="0.45">
      <c r="A30" s="96">
        <v>33</v>
      </c>
      <c r="B30" s="97" t="s">
        <v>219</v>
      </c>
      <c r="C30" s="98" t="s">
        <v>339</v>
      </c>
      <c r="D30" s="97" t="s">
        <v>340</v>
      </c>
      <c r="E30" s="97" t="s">
        <v>341</v>
      </c>
      <c r="F30" s="97" t="s">
        <v>274</v>
      </c>
      <c r="G30" s="99"/>
      <c r="H30" s="100"/>
      <c r="I30" s="101">
        <v>43859</v>
      </c>
      <c r="J30" s="102">
        <v>175</v>
      </c>
    </row>
    <row r="31" spans="1:10" x14ac:dyDescent="0.45">
      <c r="A31" s="96">
        <v>35</v>
      </c>
      <c r="B31" s="97" t="s">
        <v>298</v>
      </c>
      <c r="C31" s="98" t="s">
        <v>299</v>
      </c>
      <c r="D31" s="97" t="s">
        <v>58</v>
      </c>
      <c r="E31" s="97" t="s">
        <v>300</v>
      </c>
      <c r="F31" s="97" t="s">
        <v>301</v>
      </c>
      <c r="G31" s="99"/>
      <c r="H31" s="100"/>
      <c r="I31" s="101">
        <v>43775</v>
      </c>
      <c r="J31" s="102">
        <v>70</v>
      </c>
    </row>
    <row r="32" spans="1:10" x14ac:dyDescent="0.45">
      <c r="A32" s="96">
        <v>34</v>
      </c>
      <c r="B32" s="97" t="s">
        <v>203</v>
      </c>
      <c r="C32" s="98" t="s">
        <v>594</v>
      </c>
      <c r="D32" s="97" t="s">
        <v>98</v>
      </c>
      <c r="E32" s="125">
        <v>18</v>
      </c>
      <c r="F32" s="97" t="s">
        <v>114</v>
      </c>
      <c r="G32" s="99"/>
      <c r="H32" s="100"/>
      <c r="I32" s="147">
        <v>43850</v>
      </c>
      <c r="J32" s="102">
        <v>87.5</v>
      </c>
    </row>
    <row r="33" spans="1:12" x14ac:dyDescent="0.45">
      <c r="A33" s="96">
        <v>37</v>
      </c>
      <c r="B33" s="97" t="s">
        <v>203</v>
      </c>
      <c r="C33" s="98" t="s">
        <v>351</v>
      </c>
      <c r="D33" s="103" t="s">
        <v>20</v>
      </c>
      <c r="E33" s="97" t="s">
        <v>22</v>
      </c>
      <c r="F33" s="97" t="s">
        <v>23</v>
      </c>
      <c r="G33" s="99"/>
      <c r="H33" s="100"/>
      <c r="I33" s="101">
        <v>43871</v>
      </c>
      <c r="J33" s="102">
        <v>175</v>
      </c>
    </row>
    <row r="34" spans="1:12" x14ac:dyDescent="0.45">
      <c r="A34" s="96">
        <v>38</v>
      </c>
      <c r="B34" s="97" t="s">
        <v>298</v>
      </c>
      <c r="C34" s="98" t="s">
        <v>495</v>
      </c>
      <c r="D34" s="103" t="s">
        <v>24</v>
      </c>
      <c r="E34" s="97" t="s">
        <v>496</v>
      </c>
      <c r="F34" s="97" t="s">
        <v>76</v>
      </c>
      <c r="G34" s="99"/>
      <c r="H34" s="100"/>
      <c r="I34" s="101">
        <v>43864</v>
      </c>
      <c r="J34" s="102">
        <v>105</v>
      </c>
      <c r="L34" s="117"/>
    </row>
    <row r="35" spans="1:12" x14ac:dyDescent="0.45">
      <c r="A35" s="96">
        <v>39</v>
      </c>
      <c r="B35" s="97" t="s">
        <v>262</v>
      </c>
      <c r="C35" s="98" t="s">
        <v>392</v>
      </c>
      <c r="D35" s="97" t="s">
        <v>24</v>
      </c>
      <c r="E35" s="97" t="s">
        <v>393</v>
      </c>
      <c r="F35" s="97" t="s">
        <v>26</v>
      </c>
      <c r="G35" s="99"/>
      <c r="H35" s="100"/>
      <c r="I35" s="101">
        <v>43858</v>
      </c>
      <c r="J35" s="102">
        <v>105</v>
      </c>
    </row>
    <row r="36" spans="1:12" x14ac:dyDescent="0.45">
      <c r="A36" s="96">
        <v>43</v>
      </c>
      <c r="B36" s="97" t="s">
        <v>219</v>
      </c>
      <c r="C36" s="98" t="s">
        <v>573</v>
      </c>
      <c r="D36" s="103" t="s">
        <v>574</v>
      </c>
      <c r="E36" s="97" t="s">
        <v>441</v>
      </c>
      <c r="F36" s="97" t="s">
        <v>575</v>
      </c>
      <c r="G36" s="99"/>
      <c r="H36" s="100"/>
      <c r="I36" s="101">
        <v>43846</v>
      </c>
      <c r="J36" s="102">
        <v>157.5</v>
      </c>
    </row>
    <row r="37" spans="1:12" x14ac:dyDescent="0.45">
      <c r="A37" s="96">
        <v>44</v>
      </c>
      <c r="B37" s="97" t="s">
        <v>219</v>
      </c>
      <c r="C37" s="98" t="s">
        <v>41</v>
      </c>
      <c r="D37" s="97" t="s">
        <v>77</v>
      </c>
      <c r="E37" s="97" t="s">
        <v>428</v>
      </c>
      <c r="F37" s="97" t="s">
        <v>18</v>
      </c>
      <c r="G37" s="99"/>
      <c r="H37" s="100"/>
      <c r="I37" s="101">
        <v>43857</v>
      </c>
      <c r="J37" s="102">
        <v>140</v>
      </c>
    </row>
    <row r="38" spans="1:12" x14ac:dyDescent="0.45">
      <c r="A38" s="96">
        <v>42</v>
      </c>
      <c r="B38" s="97" t="s">
        <v>222</v>
      </c>
      <c r="C38" s="98" t="s">
        <v>595</v>
      </c>
      <c r="D38" s="97" t="s">
        <v>596</v>
      </c>
      <c r="E38" s="97" t="s">
        <v>597</v>
      </c>
      <c r="F38" s="97" t="s">
        <v>6</v>
      </c>
      <c r="G38" s="99"/>
      <c r="H38" s="100"/>
      <c r="I38" s="101">
        <v>43846</v>
      </c>
      <c r="J38" s="102">
        <v>70</v>
      </c>
    </row>
    <row r="39" spans="1:12" x14ac:dyDescent="0.45">
      <c r="A39" s="96">
        <v>36</v>
      </c>
      <c r="B39" s="97" t="s">
        <v>219</v>
      </c>
      <c r="C39" s="98" t="s">
        <v>598</v>
      </c>
      <c r="D39" s="97" t="s">
        <v>101</v>
      </c>
      <c r="E39" s="97" t="s">
        <v>599</v>
      </c>
      <c r="F39" s="97" t="s">
        <v>600</v>
      </c>
      <c r="G39" s="99"/>
      <c r="H39" s="100"/>
      <c r="I39" s="147">
        <v>43850</v>
      </c>
      <c r="J39" s="102">
        <v>70</v>
      </c>
    </row>
    <row r="40" spans="1:12" x14ac:dyDescent="0.45">
      <c r="A40" s="96">
        <v>45</v>
      </c>
      <c r="B40" s="97" t="s">
        <v>203</v>
      </c>
      <c r="C40" s="98" t="s">
        <v>560</v>
      </c>
      <c r="D40" s="97" t="s">
        <v>561</v>
      </c>
      <c r="E40" s="97" t="s">
        <v>278</v>
      </c>
      <c r="F40" s="97" t="s">
        <v>562</v>
      </c>
      <c r="G40" s="99"/>
      <c r="H40" s="100"/>
      <c r="I40" s="101">
        <v>43846</v>
      </c>
      <c r="J40" s="102">
        <v>105</v>
      </c>
    </row>
    <row r="41" spans="1:12" x14ac:dyDescent="0.45">
      <c r="A41" s="96">
        <v>46</v>
      </c>
      <c r="B41" s="97" t="s">
        <v>203</v>
      </c>
      <c r="C41" s="98" t="s">
        <v>536</v>
      </c>
      <c r="D41" s="97" t="s">
        <v>78</v>
      </c>
      <c r="E41" s="97" t="s">
        <v>537</v>
      </c>
      <c r="F41" s="97" t="s">
        <v>81</v>
      </c>
      <c r="G41" s="99"/>
      <c r="H41" s="100"/>
      <c r="I41" s="101">
        <v>43864</v>
      </c>
      <c r="J41" s="102">
        <v>105</v>
      </c>
    </row>
    <row r="42" spans="1:12" x14ac:dyDescent="0.45">
      <c r="A42" s="96">
        <v>47</v>
      </c>
      <c r="B42" s="97" t="s">
        <v>200</v>
      </c>
      <c r="C42" s="98" t="s">
        <v>296</v>
      </c>
      <c r="D42" s="97" t="s">
        <v>60</v>
      </c>
      <c r="E42" s="97" t="s">
        <v>295</v>
      </c>
      <c r="F42" s="97" t="s">
        <v>61</v>
      </c>
      <c r="G42" s="99"/>
      <c r="H42" s="100"/>
      <c r="I42" s="101">
        <v>43724</v>
      </c>
      <c r="J42" s="102">
        <v>70</v>
      </c>
    </row>
    <row r="43" spans="1:12" x14ac:dyDescent="0.45">
      <c r="A43" s="96">
        <v>48</v>
      </c>
      <c r="B43" s="97" t="s">
        <v>219</v>
      </c>
      <c r="C43" s="98" t="s">
        <v>487</v>
      </c>
      <c r="D43" s="97" t="s">
        <v>488</v>
      </c>
      <c r="E43" s="97" t="s">
        <v>489</v>
      </c>
      <c r="F43" s="97" t="s">
        <v>490</v>
      </c>
      <c r="G43" s="99"/>
      <c r="H43" s="100"/>
      <c r="I43" s="104">
        <v>43578</v>
      </c>
      <c r="J43" s="102">
        <v>35</v>
      </c>
    </row>
    <row r="44" spans="1:12" x14ac:dyDescent="0.45">
      <c r="A44" s="96">
        <v>41</v>
      </c>
      <c r="B44" s="97" t="s">
        <v>219</v>
      </c>
      <c r="C44" s="98" t="s">
        <v>236</v>
      </c>
      <c r="D44" s="97" t="s">
        <v>62</v>
      </c>
      <c r="E44" s="97" t="s">
        <v>354</v>
      </c>
      <c r="F44" s="97" t="s">
        <v>55</v>
      </c>
      <c r="G44" s="99"/>
      <c r="H44" s="100"/>
      <c r="I44" s="147">
        <v>43878</v>
      </c>
      <c r="J44" s="102">
        <v>70</v>
      </c>
    </row>
    <row r="45" spans="1:12" x14ac:dyDescent="0.45">
      <c r="A45" s="96">
        <v>49</v>
      </c>
      <c r="B45" s="97" t="s">
        <v>219</v>
      </c>
      <c r="C45" s="98" t="s">
        <v>97</v>
      </c>
      <c r="D45" s="97" t="s">
        <v>344</v>
      </c>
      <c r="E45" s="97" t="s">
        <v>345</v>
      </c>
      <c r="F45" s="97" t="s">
        <v>261</v>
      </c>
      <c r="G45" s="99"/>
      <c r="H45" s="100"/>
      <c r="I45" s="101">
        <v>43748</v>
      </c>
      <c r="J45" s="102">
        <v>70</v>
      </c>
    </row>
    <row r="46" spans="1:12" x14ac:dyDescent="0.45">
      <c r="A46" s="96">
        <v>50</v>
      </c>
      <c r="B46" s="98" t="s">
        <v>200</v>
      </c>
      <c r="C46" s="98" t="s">
        <v>566</v>
      </c>
      <c r="D46" s="98" t="s">
        <v>103</v>
      </c>
      <c r="E46" s="98" t="s">
        <v>567</v>
      </c>
      <c r="F46" s="98" t="s">
        <v>37</v>
      </c>
      <c r="G46" s="99"/>
      <c r="H46" s="100"/>
      <c r="I46" s="101">
        <v>43845</v>
      </c>
      <c r="J46" s="102">
        <v>70</v>
      </c>
    </row>
    <row r="47" spans="1:12" x14ac:dyDescent="0.45">
      <c r="A47" s="96">
        <v>52</v>
      </c>
      <c r="B47" s="97" t="s">
        <v>219</v>
      </c>
      <c r="C47" s="98" t="s">
        <v>45</v>
      </c>
      <c r="D47" s="97" t="s">
        <v>80</v>
      </c>
      <c r="E47" s="106" t="s">
        <v>370</v>
      </c>
      <c r="F47" s="97" t="s">
        <v>81</v>
      </c>
      <c r="G47" s="99"/>
      <c r="H47" s="100"/>
      <c r="I47" s="101">
        <v>43864</v>
      </c>
      <c r="J47" s="102">
        <v>210</v>
      </c>
    </row>
    <row r="48" spans="1:12" x14ac:dyDescent="0.45">
      <c r="A48" s="96">
        <v>53</v>
      </c>
      <c r="B48" s="97" t="s">
        <v>203</v>
      </c>
      <c r="C48" s="98" t="s">
        <v>323</v>
      </c>
      <c r="D48" s="97" t="s">
        <v>528</v>
      </c>
      <c r="E48" s="97" t="s">
        <v>529</v>
      </c>
      <c r="F48" s="97" t="s">
        <v>530</v>
      </c>
      <c r="G48" s="99"/>
      <c r="H48" s="100"/>
      <c r="I48" s="147">
        <v>43579</v>
      </c>
      <c r="J48" s="102">
        <v>35</v>
      </c>
    </row>
    <row r="49" spans="1:10" x14ac:dyDescent="0.45">
      <c r="A49" s="96">
        <v>54</v>
      </c>
      <c r="B49" s="97" t="s">
        <v>200</v>
      </c>
      <c r="C49" s="98" t="s">
        <v>451</v>
      </c>
      <c r="D49" s="97" t="s">
        <v>27</v>
      </c>
      <c r="E49" s="97" t="s">
        <v>452</v>
      </c>
      <c r="F49" s="97" t="s">
        <v>453</v>
      </c>
      <c r="G49" s="99"/>
      <c r="H49" s="100"/>
      <c r="I49" s="101">
        <v>43864</v>
      </c>
      <c r="J49" s="102">
        <v>210</v>
      </c>
    </row>
    <row r="50" spans="1:10" x14ac:dyDescent="0.45">
      <c r="A50" s="96">
        <v>55</v>
      </c>
      <c r="B50" s="97" t="s">
        <v>203</v>
      </c>
      <c r="C50" s="98" t="s">
        <v>267</v>
      </c>
      <c r="D50" s="97" t="s">
        <v>563</v>
      </c>
      <c r="E50" s="103" t="s">
        <v>389</v>
      </c>
      <c r="F50" s="97" t="s">
        <v>564</v>
      </c>
      <c r="G50" s="99"/>
      <c r="H50" s="100"/>
      <c r="I50" s="101">
        <v>43854</v>
      </c>
      <c r="J50" s="102">
        <v>105</v>
      </c>
    </row>
    <row r="51" spans="1:10" x14ac:dyDescent="0.45">
      <c r="A51" s="96">
        <v>56</v>
      </c>
      <c r="B51" s="98" t="s">
        <v>219</v>
      </c>
      <c r="C51" s="98" t="s">
        <v>109</v>
      </c>
      <c r="D51" s="98" t="s">
        <v>565</v>
      </c>
      <c r="E51" s="98" t="s">
        <v>527</v>
      </c>
      <c r="F51" s="98" t="s">
        <v>241</v>
      </c>
      <c r="G51" s="99"/>
      <c r="H51" s="100"/>
      <c r="I51" s="101">
        <v>43872</v>
      </c>
      <c r="J51" s="102">
        <v>105</v>
      </c>
    </row>
    <row r="52" spans="1:10" x14ac:dyDescent="0.45">
      <c r="A52" s="96">
        <v>57</v>
      </c>
      <c r="B52" s="97" t="s">
        <v>203</v>
      </c>
      <c r="C52" s="98" t="s">
        <v>325</v>
      </c>
      <c r="D52" s="97" t="s">
        <v>29</v>
      </c>
      <c r="E52" s="97" t="s">
        <v>326</v>
      </c>
      <c r="F52" s="97" t="s">
        <v>30</v>
      </c>
      <c r="G52" s="107"/>
      <c r="H52" s="107"/>
      <c r="I52" s="146">
        <v>43858</v>
      </c>
      <c r="J52" s="102">
        <v>105</v>
      </c>
    </row>
    <row r="53" spans="1:10" x14ac:dyDescent="0.45">
      <c r="A53" s="96">
        <v>58</v>
      </c>
      <c r="B53" s="97" t="s">
        <v>203</v>
      </c>
      <c r="C53" s="98" t="s">
        <v>275</v>
      </c>
      <c r="D53" s="97" t="s">
        <v>33</v>
      </c>
      <c r="E53" s="97" t="s">
        <v>238</v>
      </c>
      <c r="F53" s="97" t="s">
        <v>34</v>
      </c>
      <c r="G53" s="99"/>
      <c r="H53" s="100"/>
      <c r="I53" s="101">
        <v>43858</v>
      </c>
      <c r="J53" s="102">
        <v>175</v>
      </c>
    </row>
    <row r="54" spans="1:10" x14ac:dyDescent="0.45">
      <c r="A54" s="96">
        <v>60</v>
      </c>
      <c r="B54" s="97" t="s">
        <v>203</v>
      </c>
      <c r="C54" s="98" t="s">
        <v>384</v>
      </c>
      <c r="D54" s="97" t="s">
        <v>82</v>
      </c>
      <c r="E54" s="106" t="s">
        <v>385</v>
      </c>
      <c r="F54" s="97" t="s">
        <v>386</v>
      </c>
      <c r="G54" s="99"/>
      <c r="H54" s="100"/>
      <c r="I54" s="101">
        <v>43864</v>
      </c>
      <c r="J54" s="102">
        <v>175</v>
      </c>
    </row>
    <row r="55" spans="1:10" x14ac:dyDescent="0.45">
      <c r="A55" s="96">
        <v>61</v>
      </c>
      <c r="B55" s="97" t="s">
        <v>222</v>
      </c>
      <c r="C55" s="98" t="s">
        <v>325</v>
      </c>
      <c r="D55" s="97" t="s">
        <v>471</v>
      </c>
      <c r="E55" s="97" t="s">
        <v>54</v>
      </c>
      <c r="F55" s="97" t="s">
        <v>55</v>
      </c>
      <c r="G55" s="99"/>
      <c r="H55" s="100"/>
      <c r="I55" s="101">
        <v>43893</v>
      </c>
      <c r="J55" s="102">
        <v>105</v>
      </c>
    </row>
    <row r="56" spans="1:10" x14ac:dyDescent="0.45">
      <c r="A56" s="96">
        <v>62</v>
      </c>
      <c r="B56" s="97" t="s">
        <v>219</v>
      </c>
      <c r="C56" s="98" t="s">
        <v>235</v>
      </c>
      <c r="D56" s="97" t="s">
        <v>35</v>
      </c>
      <c r="E56" s="97" t="s">
        <v>36</v>
      </c>
      <c r="F56" s="97" t="s">
        <v>37</v>
      </c>
      <c r="G56" s="99"/>
      <c r="H56" s="100"/>
      <c r="I56" s="101">
        <v>43858</v>
      </c>
      <c r="J56" s="102">
        <v>105</v>
      </c>
    </row>
    <row r="57" spans="1:10" x14ac:dyDescent="0.45">
      <c r="A57" s="96">
        <v>63</v>
      </c>
      <c r="B57" s="97" t="s">
        <v>203</v>
      </c>
      <c r="C57" s="98" t="s">
        <v>358</v>
      </c>
      <c r="D57" s="97" t="s">
        <v>359</v>
      </c>
      <c r="E57" s="97" t="s">
        <v>253</v>
      </c>
      <c r="F57" s="97" t="s">
        <v>360</v>
      </c>
      <c r="G57" s="107"/>
      <c r="H57" s="107"/>
      <c r="I57" s="104">
        <v>43787</v>
      </c>
      <c r="J57" s="102">
        <v>70</v>
      </c>
    </row>
    <row r="58" spans="1:10" x14ac:dyDescent="0.45">
      <c r="A58" s="96">
        <v>64</v>
      </c>
      <c r="B58" s="97" t="s">
        <v>200</v>
      </c>
      <c r="C58" s="98" t="s">
        <v>380</v>
      </c>
      <c r="D58" s="97" t="s">
        <v>107</v>
      </c>
      <c r="E58" s="97" t="s">
        <v>570</v>
      </c>
      <c r="F58" s="97" t="s">
        <v>571</v>
      </c>
      <c r="G58" s="99"/>
      <c r="H58" s="100"/>
      <c r="I58" s="101">
        <v>43847</v>
      </c>
      <c r="J58" s="102">
        <v>105</v>
      </c>
    </row>
    <row r="59" spans="1:10" x14ac:dyDescent="0.45">
      <c r="A59" s="96">
        <v>65</v>
      </c>
      <c r="B59" s="97" t="s">
        <v>302</v>
      </c>
      <c r="C59" s="98" t="s">
        <v>352</v>
      </c>
      <c r="D59" s="97" t="s">
        <v>353</v>
      </c>
      <c r="E59" s="97" t="s">
        <v>354</v>
      </c>
      <c r="F59" s="97" t="s">
        <v>70</v>
      </c>
      <c r="G59" s="107"/>
      <c r="H59" s="107"/>
      <c r="I59" s="104">
        <v>43599</v>
      </c>
      <c r="J59" s="131">
        <v>35</v>
      </c>
    </row>
    <row r="60" spans="1:10" x14ac:dyDescent="0.45">
      <c r="A60" s="96">
        <v>66</v>
      </c>
      <c r="B60" s="97" t="s">
        <v>262</v>
      </c>
      <c r="C60" s="98" t="s">
        <v>333</v>
      </c>
      <c r="D60" s="97" t="s">
        <v>371</v>
      </c>
      <c r="E60" s="97" t="s">
        <v>372</v>
      </c>
      <c r="F60" s="97" t="s">
        <v>34</v>
      </c>
      <c r="G60" s="99"/>
      <c r="H60" s="100"/>
      <c r="I60" s="101">
        <v>43581</v>
      </c>
      <c r="J60" s="102">
        <v>35</v>
      </c>
    </row>
    <row r="61" spans="1:10" x14ac:dyDescent="0.45">
      <c r="A61" s="96">
        <v>67</v>
      </c>
      <c r="B61" s="107" t="s">
        <v>200</v>
      </c>
      <c r="C61" s="107" t="s">
        <v>391</v>
      </c>
      <c r="D61" s="107" t="s">
        <v>83</v>
      </c>
      <c r="E61" s="106" t="s">
        <v>84</v>
      </c>
      <c r="F61" s="107" t="s">
        <v>85</v>
      </c>
      <c r="G61" s="99"/>
      <c r="H61" s="100"/>
      <c r="I61" s="101">
        <v>43874</v>
      </c>
      <c r="J61" s="102">
        <v>105</v>
      </c>
    </row>
    <row r="62" spans="1:10" x14ac:dyDescent="0.45">
      <c r="A62" s="96">
        <v>40</v>
      </c>
      <c r="B62" s="97" t="s">
        <v>242</v>
      </c>
      <c r="C62" s="98" t="s">
        <v>588</v>
      </c>
      <c r="D62" s="97" t="s">
        <v>589</v>
      </c>
      <c r="E62" s="97" t="s">
        <v>483</v>
      </c>
      <c r="F62" s="97" t="s">
        <v>70</v>
      </c>
      <c r="G62" s="99"/>
      <c r="H62" s="100"/>
      <c r="I62" s="101">
        <v>43857</v>
      </c>
      <c r="J62" s="102">
        <v>105</v>
      </c>
    </row>
    <row r="63" spans="1:10" x14ac:dyDescent="0.45">
      <c r="A63" s="96">
        <v>71</v>
      </c>
      <c r="B63" s="97" t="s">
        <v>200</v>
      </c>
      <c r="C63" s="98" t="s">
        <v>585</v>
      </c>
      <c r="D63" s="97" t="s">
        <v>63</v>
      </c>
      <c r="E63" s="97" t="s">
        <v>586</v>
      </c>
      <c r="F63" s="97" t="s">
        <v>587</v>
      </c>
      <c r="G63" s="99"/>
      <c r="H63" s="100"/>
      <c r="I63" s="147">
        <v>43871</v>
      </c>
      <c r="J63" s="102">
        <v>105</v>
      </c>
    </row>
    <row r="64" spans="1:10" x14ac:dyDescent="0.45">
      <c r="A64" s="96">
        <v>68</v>
      </c>
      <c r="B64" s="97" t="s">
        <v>200</v>
      </c>
      <c r="C64" s="98" t="s">
        <v>252</v>
      </c>
      <c r="D64" s="97" t="s">
        <v>31</v>
      </c>
      <c r="E64" s="97" t="s">
        <v>253</v>
      </c>
      <c r="F64" s="97" t="s">
        <v>32</v>
      </c>
      <c r="G64" s="99"/>
      <c r="H64" s="100"/>
      <c r="I64" s="101">
        <v>43858</v>
      </c>
      <c r="J64" s="102">
        <v>175</v>
      </c>
    </row>
    <row r="65" spans="1:10" x14ac:dyDescent="0.45">
      <c r="A65" s="96">
        <v>69</v>
      </c>
      <c r="B65" s="97" t="s">
        <v>219</v>
      </c>
      <c r="C65" s="98" t="s">
        <v>46</v>
      </c>
      <c r="D65" s="97" t="s">
        <v>247</v>
      </c>
      <c r="E65" s="97" t="s">
        <v>248</v>
      </c>
      <c r="F65" s="97" t="s">
        <v>249</v>
      </c>
      <c r="G65" s="99"/>
      <c r="H65" s="100"/>
      <c r="I65" s="101">
        <v>43581</v>
      </c>
      <c r="J65" s="102">
        <v>35</v>
      </c>
    </row>
    <row r="66" spans="1:10" x14ac:dyDescent="0.45">
      <c r="A66" s="96">
        <v>70</v>
      </c>
      <c r="B66" s="97" t="s">
        <v>200</v>
      </c>
      <c r="C66" s="98" t="s">
        <v>296</v>
      </c>
      <c r="D66" s="97" t="s">
        <v>38</v>
      </c>
      <c r="E66" s="97" t="s">
        <v>455</v>
      </c>
      <c r="F66" s="97" t="s">
        <v>456</v>
      </c>
      <c r="G66" s="99"/>
      <c r="H66" s="100"/>
      <c r="I66" s="101">
        <v>43864</v>
      </c>
      <c r="J66" s="102">
        <v>105</v>
      </c>
    </row>
    <row r="67" spans="1:10" x14ac:dyDescent="0.45">
      <c r="A67" s="96">
        <v>59</v>
      </c>
      <c r="B67" s="97" t="s">
        <v>222</v>
      </c>
      <c r="C67" s="98" t="s">
        <v>204</v>
      </c>
      <c r="D67" s="97" t="s">
        <v>454</v>
      </c>
      <c r="E67" s="97" t="s">
        <v>406</v>
      </c>
      <c r="F67" s="97" t="s">
        <v>114</v>
      </c>
      <c r="G67" s="99"/>
      <c r="H67" s="100"/>
      <c r="I67" s="147">
        <v>43846</v>
      </c>
      <c r="J67" s="102">
        <v>210</v>
      </c>
    </row>
    <row r="68" spans="1:10" x14ac:dyDescent="0.45">
      <c r="A68" s="96">
        <v>72</v>
      </c>
      <c r="B68" s="97" t="s">
        <v>203</v>
      </c>
      <c r="C68" s="98" t="s">
        <v>551</v>
      </c>
      <c r="D68" s="97" t="s">
        <v>39</v>
      </c>
      <c r="E68" s="125">
        <v>4</v>
      </c>
      <c r="F68" s="97" t="s">
        <v>453</v>
      </c>
      <c r="G68" s="99"/>
      <c r="H68" s="100"/>
      <c r="I68" s="101">
        <v>43858</v>
      </c>
      <c r="J68" s="102">
        <v>210</v>
      </c>
    </row>
    <row r="69" spans="1:10" x14ac:dyDescent="0.45">
      <c r="A69" s="96">
        <v>73</v>
      </c>
      <c r="B69" s="98" t="s">
        <v>203</v>
      </c>
      <c r="C69" s="98" t="s">
        <v>414</v>
      </c>
      <c r="D69" s="98" t="s">
        <v>40</v>
      </c>
      <c r="E69" s="98" t="s">
        <v>415</v>
      </c>
      <c r="F69" s="98" t="s">
        <v>397</v>
      </c>
      <c r="G69" s="99"/>
      <c r="H69" s="100"/>
      <c r="I69" s="101">
        <v>43861</v>
      </c>
      <c r="J69" s="102">
        <v>105</v>
      </c>
    </row>
    <row r="70" spans="1:10" x14ac:dyDescent="0.45">
      <c r="A70" s="96">
        <v>77</v>
      </c>
      <c r="B70" s="97" t="s">
        <v>219</v>
      </c>
      <c r="C70" s="98" t="s">
        <v>604</v>
      </c>
      <c r="D70" s="97" t="s">
        <v>116</v>
      </c>
      <c r="E70" s="97" t="s">
        <v>343</v>
      </c>
      <c r="F70" s="97" t="s">
        <v>605</v>
      </c>
      <c r="G70" s="99"/>
      <c r="H70" s="100"/>
      <c r="I70" s="101">
        <v>43902</v>
      </c>
      <c r="J70" s="102">
        <v>35</v>
      </c>
    </row>
    <row r="71" spans="1:10" x14ac:dyDescent="0.45">
      <c r="A71" s="96">
        <v>74</v>
      </c>
      <c r="B71" s="98" t="s">
        <v>203</v>
      </c>
      <c r="C71" s="98" t="s">
        <v>335</v>
      </c>
      <c r="D71" s="98" t="s">
        <v>42</v>
      </c>
      <c r="E71" s="98" t="s">
        <v>460</v>
      </c>
      <c r="F71" s="98" t="s">
        <v>43</v>
      </c>
      <c r="G71" s="107"/>
      <c r="H71" s="107"/>
      <c r="I71" s="104">
        <v>43859</v>
      </c>
      <c r="J71" s="131">
        <v>175</v>
      </c>
    </row>
    <row r="72" spans="1:10" x14ac:dyDescent="0.45">
      <c r="A72" s="96">
        <v>79</v>
      </c>
      <c r="B72" s="97" t="s">
        <v>298</v>
      </c>
      <c r="C72" s="98" t="s">
        <v>377</v>
      </c>
      <c r="D72" s="97" t="s">
        <v>65</v>
      </c>
      <c r="E72" s="97" t="s">
        <v>606</v>
      </c>
      <c r="F72" s="97" t="s">
        <v>332</v>
      </c>
      <c r="G72" s="99"/>
      <c r="H72" s="100"/>
      <c r="I72" s="101">
        <v>43850</v>
      </c>
      <c r="J72" s="102">
        <v>105</v>
      </c>
    </row>
    <row r="73" spans="1:10" x14ac:dyDescent="0.45">
      <c r="A73" s="96">
        <v>75</v>
      </c>
      <c r="B73" s="107" t="s">
        <v>242</v>
      </c>
      <c r="C73" s="107" t="s">
        <v>410</v>
      </c>
      <c r="D73" s="107" t="s">
        <v>411</v>
      </c>
      <c r="E73" s="106" t="s">
        <v>412</v>
      </c>
      <c r="F73" s="107" t="s">
        <v>114</v>
      </c>
      <c r="G73" s="99"/>
      <c r="H73" s="100"/>
      <c r="I73" s="101">
        <v>43766</v>
      </c>
      <c r="J73" s="102">
        <v>70</v>
      </c>
    </row>
    <row r="74" spans="1:10" x14ac:dyDescent="0.45">
      <c r="A74" s="96">
        <v>76</v>
      </c>
      <c r="B74" s="97" t="s">
        <v>219</v>
      </c>
      <c r="C74" s="98" t="s">
        <v>413</v>
      </c>
      <c r="D74" s="97" t="s">
        <v>408</v>
      </c>
      <c r="E74" s="97" t="s">
        <v>389</v>
      </c>
      <c r="F74" s="97" t="s">
        <v>6</v>
      </c>
      <c r="G74" s="99"/>
      <c r="H74" s="100"/>
      <c r="I74" s="101">
        <v>43581</v>
      </c>
      <c r="J74" s="102">
        <v>35</v>
      </c>
    </row>
    <row r="75" spans="1:10" x14ac:dyDescent="0.45">
      <c r="A75" s="96">
        <v>51</v>
      </c>
      <c r="B75" s="97" t="s">
        <v>203</v>
      </c>
      <c r="C75" s="98" t="s">
        <v>593</v>
      </c>
      <c r="D75" s="97" t="s">
        <v>439</v>
      </c>
      <c r="E75" s="97" t="s">
        <v>607</v>
      </c>
      <c r="F75" s="97" t="s">
        <v>608</v>
      </c>
      <c r="G75" s="99"/>
      <c r="H75" s="100"/>
      <c r="I75" s="147">
        <v>43850</v>
      </c>
      <c r="J75" s="102">
        <v>70</v>
      </c>
    </row>
    <row r="76" spans="1:10" x14ac:dyDescent="0.45">
      <c r="A76" s="96">
        <v>78</v>
      </c>
      <c r="B76" s="97" t="s">
        <v>298</v>
      </c>
      <c r="C76" s="98" t="s">
        <v>497</v>
      </c>
      <c r="D76" s="97" t="s">
        <v>87</v>
      </c>
      <c r="E76" s="97" t="s">
        <v>455</v>
      </c>
      <c r="F76" s="97" t="s">
        <v>88</v>
      </c>
      <c r="G76" s="99"/>
      <c r="H76" s="100"/>
      <c r="I76" s="101">
        <v>43865</v>
      </c>
      <c r="J76" s="102">
        <v>105</v>
      </c>
    </row>
    <row r="77" spans="1:10" x14ac:dyDescent="0.45">
      <c r="A77" s="96">
        <v>5</v>
      </c>
      <c r="B77" s="97" t="s">
        <v>203</v>
      </c>
      <c r="C77" s="98" t="s">
        <v>335</v>
      </c>
      <c r="D77" s="103" t="s">
        <v>336</v>
      </c>
      <c r="E77" s="97" t="s">
        <v>337</v>
      </c>
      <c r="F77" s="97" t="s">
        <v>338</v>
      </c>
      <c r="G77" s="99"/>
      <c r="H77" s="100"/>
      <c r="I77" s="147">
        <v>43947</v>
      </c>
      <c r="J77" s="102">
        <v>35</v>
      </c>
    </row>
    <row r="78" spans="1:10" x14ac:dyDescent="0.45">
      <c r="A78" s="96">
        <v>7</v>
      </c>
      <c r="B78" s="97" t="s">
        <v>203</v>
      </c>
      <c r="C78" s="98" t="s">
        <v>611</v>
      </c>
      <c r="D78" s="97" t="s">
        <v>113</v>
      </c>
      <c r="E78" s="97" t="s">
        <v>288</v>
      </c>
      <c r="F78" s="97" t="s">
        <v>114</v>
      </c>
      <c r="G78" s="99"/>
      <c r="H78" s="100"/>
      <c r="I78" s="147">
        <v>43858</v>
      </c>
      <c r="J78" s="102">
        <v>140</v>
      </c>
    </row>
    <row r="79" spans="1:10" x14ac:dyDescent="0.45">
      <c r="A79" s="96">
        <v>24</v>
      </c>
      <c r="B79" s="97"/>
      <c r="C79" s="98"/>
      <c r="D79" t="s">
        <v>106</v>
      </c>
      <c r="E79">
        <v>70</v>
      </c>
      <c r="F79" s="97"/>
      <c r="G79" s="99"/>
      <c r="H79" s="100"/>
      <c r="I79" s="147"/>
      <c r="J79" s="102">
        <v>70</v>
      </c>
    </row>
    <row r="80" spans="1:10" x14ac:dyDescent="0.45">
      <c r="A80" s="96">
        <v>80</v>
      </c>
      <c r="B80" s="97"/>
      <c r="C80" s="98"/>
      <c r="D80" t="s">
        <v>108</v>
      </c>
      <c r="E80">
        <v>70</v>
      </c>
      <c r="F80" s="97"/>
      <c r="G80" s="99"/>
      <c r="H80" s="100"/>
      <c r="I80" s="147"/>
      <c r="J80" s="102">
        <v>70</v>
      </c>
    </row>
    <row r="81" spans="1:16" x14ac:dyDescent="0.45">
      <c r="A81" s="96">
        <v>81</v>
      </c>
      <c r="B81" s="98"/>
      <c r="C81" s="98"/>
      <c r="D81" s="98"/>
      <c r="E81" s="98"/>
      <c r="F81" s="98"/>
      <c r="G81" s="99"/>
      <c r="H81" s="100"/>
      <c r="I81" s="101"/>
      <c r="J81" s="102">
        <f>SUM(J1:J80)</f>
        <v>8597.5</v>
      </c>
    </row>
    <row r="82" spans="1:16" x14ac:dyDescent="0.45">
      <c r="A82" s="96">
        <v>82</v>
      </c>
      <c r="B82" s="97"/>
      <c r="C82" s="98"/>
      <c r="D82" s="97"/>
      <c r="E82" s="97"/>
      <c r="F82" s="97"/>
      <c r="G82" s="99"/>
      <c r="H82" s="100"/>
      <c r="I82" s="101"/>
      <c r="J82" s="102"/>
    </row>
    <row r="83" spans="1:16" x14ac:dyDescent="0.45">
      <c r="A83" s="96">
        <v>83</v>
      </c>
      <c r="B83" s="97"/>
      <c r="C83" s="98"/>
      <c r="D83" s="97"/>
      <c r="E83" s="97"/>
      <c r="F83" s="97"/>
      <c r="G83" s="99"/>
      <c r="H83" s="100"/>
      <c r="I83" s="101"/>
      <c r="J83" s="102"/>
    </row>
    <row r="84" spans="1:16" x14ac:dyDescent="0.45">
      <c r="A84" s="96">
        <v>93</v>
      </c>
      <c r="B84" s="97"/>
      <c r="C84" s="98"/>
      <c r="D84" s="97"/>
      <c r="E84" s="97"/>
      <c r="F84" s="97"/>
      <c r="G84" s="99"/>
      <c r="H84" s="100"/>
      <c r="I84" s="101"/>
      <c r="J84" s="102"/>
    </row>
    <row r="85" spans="1:16" x14ac:dyDescent="0.45">
      <c r="A85" s="96">
        <v>94</v>
      </c>
    </row>
    <row r="86" spans="1:16" x14ac:dyDescent="0.45">
      <c r="A86" s="96">
        <v>95</v>
      </c>
      <c r="L86" s="117"/>
    </row>
    <row r="87" spans="1:16" x14ac:dyDescent="0.45">
      <c r="A87" s="96">
        <v>96</v>
      </c>
      <c r="C87" s="118" t="s">
        <v>505</v>
      </c>
      <c r="D87" s="9">
        <v>44229</v>
      </c>
      <c r="E87" t="s">
        <v>646</v>
      </c>
    </row>
    <row r="88" spans="1:16" x14ac:dyDescent="0.45">
      <c r="A88" s="96">
        <v>97</v>
      </c>
      <c r="D88" s="156">
        <v>45123</v>
      </c>
    </row>
    <row r="89" spans="1:16" x14ac:dyDescent="0.45">
      <c r="A89" s="96">
        <v>98</v>
      </c>
    </row>
    <row r="90" spans="1:16" x14ac:dyDescent="0.45">
      <c r="A90" s="96">
        <v>99</v>
      </c>
      <c r="C90" s="9">
        <v>43578</v>
      </c>
    </row>
    <row r="91" spans="1:16" x14ac:dyDescent="0.45">
      <c r="A91" s="96">
        <v>100</v>
      </c>
    </row>
    <row r="92" spans="1:16" x14ac:dyDescent="0.45">
      <c r="A92" s="96">
        <v>101</v>
      </c>
      <c r="B92" s="7"/>
      <c r="C92" s="7"/>
      <c r="D92" s="7"/>
      <c r="E92" s="113"/>
      <c r="F92" s="7"/>
      <c r="G92" s="7" t="s">
        <v>506</v>
      </c>
      <c r="H92" s="100"/>
      <c r="I92" s="101"/>
      <c r="J92" s="102">
        <f>D119</f>
        <v>1552.5</v>
      </c>
    </row>
    <row r="93" spans="1:16" x14ac:dyDescent="0.45">
      <c r="A93" s="96">
        <v>102</v>
      </c>
      <c r="B93" s="97"/>
      <c r="C93" s="98"/>
      <c r="D93" s="97"/>
      <c r="E93" s="97"/>
      <c r="F93" s="97"/>
      <c r="H93" s="7"/>
      <c r="I93" s="114"/>
      <c r="J93" s="7"/>
    </row>
    <row r="94" spans="1:16" x14ac:dyDescent="0.45">
      <c r="A94" s="96">
        <v>103</v>
      </c>
      <c r="B94" s="97"/>
      <c r="C94" s="98"/>
      <c r="D94" s="97"/>
      <c r="E94" s="97"/>
      <c r="F94" s="97"/>
      <c r="G94" s="99"/>
      <c r="H94" s="100"/>
      <c r="I94" s="101"/>
      <c r="J94" s="102"/>
    </row>
    <row r="95" spans="1:16" x14ac:dyDescent="0.45">
      <c r="B95" s="7"/>
      <c r="C95" s="7"/>
      <c r="D95" s="7"/>
      <c r="E95" s="113"/>
      <c r="F95" s="7"/>
      <c r="G95" s="7"/>
      <c r="H95" s="7"/>
      <c r="I95" s="114"/>
      <c r="J95" s="7"/>
      <c r="P95" s="121"/>
    </row>
    <row r="96" spans="1:16" x14ac:dyDescent="0.45">
      <c r="B96" s="7"/>
      <c r="C96" s="7"/>
      <c r="D96" s="7"/>
      <c r="E96" s="113"/>
      <c r="F96" s="7"/>
      <c r="G96" s="7"/>
      <c r="H96" s="7"/>
      <c r="I96" s="114"/>
      <c r="J96" s="7"/>
    </row>
    <row r="97" spans="3:14" x14ac:dyDescent="0.45">
      <c r="E97" s="115"/>
      <c r="I97" s="116"/>
      <c r="J97" s="117">
        <f>SUM(J92+J81)</f>
        <v>10150</v>
      </c>
      <c r="M97" s="14" t="s">
        <v>610</v>
      </c>
      <c r="N97" s="117">
        <f>10425-J97</f>
        <v>275</v>
      </c>
    </row>
    <row r="98" spans="3:14" x14ac:dyDescent="0.45">
      <c r="C98" t="s">
        <v>612</v>
      </c>
      <c r="D98">
        <v>35</v>
      </c>
    </row>
    <row r="99" spans="3:14" x14ac:dyDescent="0.45">
      <c r="C99" t="s">
        <v>51</v>
      </c>
      <c r="D99">
        <v>105</v>
      </c>
    </row>
    <row r="100" spans="3:14" x14ac:dyDescent="0.45">
      <c r="C100" t="s">
        <v>17</v>
      </c>
      <c r="D100">
        <v>105</v>
      </c>
      <c r="F100" t="s">
        <v>464</v>
      </c>
    </row>
    <row r="101" spans="3:14" x14ac:dyDescent="0.45">
      <c r="C101" t="s">
        <v>591</v>
      </c>
      <c r="D101">
        <v>35</v>
      </c>
      <c r="F101" s="121"/>
    </row>
    <row r="102" spans="3:14" x14ac:dyDescent="0.45">
      <c r="C102" t="s">
        <v>12</v>
      </c>
      <c r="D102">
        <v>210</v>
      </c>
      <c r="F102" s="145">
        <f>J97/4</f>
        <v>2537.5</v>
      </c>
    </row>
    <row r="103" spans="3:14" x14ac:dyDescent="0.45">
      <c r="C103" t="s">
        <v>96</v>
      </c>
      <c r="D103">
        <v>70</v>
      </c>
    </row>
    <row r="104" spans="3:14" x14ac:dyDescent="0.45">
      <c r="C104" t="s">
        <v>519</v>
      </c>
      <c r="D104" s="120">
        <v>105</v>
      </c>
    </row>
    <row r="105" spans="3:14" x14ac:dyDescent="0.45">
      <c r="C105" t="s">
        <v>59</v>
      </c>
      <c r="D105">
        <v>140</v>
      </c>
    </row>
    <row r="106" spans="3:14" x14ac:dyDescent="0.45">
      <c r="C106" t="s">
        <v>550</v>
      </c>
      <c r="D106">
        <v>100</v>
      </c>
    </row>
    <row r="107" spans="3:14" x14ac:dyDescent="0.45">
      <c r="C107" t="s">
        <v>102</v>
      </c>
      <c r="D107">
        <v>35</v>
      </c>
    </row>
    <row r="108" spans="3:14" x14ac:dyDescent="0.45">
      <c r="C108" t="s">
        <v>79</v>
      </c>
      <c r="D108">
        <v>105</v>
      </c>
    </row>
    <row r="109" spans="3:14" x14ac:dyDescent="0.45">
      <c r="C109" t="s">
        <v>568</v>
      </c>
      <c r="D109">
        <v>105</v>
      </c>
    </row>
    <row r="110" spans="3:14" x14ac:dyDescent="0.45">
      <c r="C110" t="s">
        <v>603</v>
      </c>
      <c r="D110">
        <v>35</v>
      </c>
    </row>
    <row r="112" spans="3:14" x14ac:dyDescent="0.45">
      <c r="C112" t="s">
        <v>592</v>
      </c>
      <c r="D112">
        <v>52.5</v>
      </c>
    </row>
    <row r="114" spans="3:11" x14ac:dyDescent="0.45">
      <c r="C114" t="s">
        <v>572</v>
      </c>
      <c r="D114">
        <v>70</v>
      </c>
    </row>
    <row r="115" spans="3:11" x14ac:dyDescent="0.45">
      <c r="C115" t="s">
        <v>111</v>
      </c>
      <c r="D115">
        <v>70</v>
      </c>
    </row>
    <row r="116" spans="3:11" x14ac:dyDescent="0.45">
      <c r="C116" t="s">
        <v>609</v>
      </c>
      <c r="D116">
        <v>70</v>
      </c>
    </row>
    <row r="117" spans="3:11" x14ac:dyDescent="0.45">
      <c r="C117" t="s">
        <v>115</v>
      </c>
      <c r="D117">
        <v>105</v>
      </c>
    </row>
    <row r="119" spans="3:11" x14ac:dyDescent="0.45">
      <c r="D119">
        <f>SUM(D98:D118)</f>
        <v>1552.5</v>
      </c>
    </row>
    <row r="121" spans="3:11" x14ac:dyDescent="0.45">
      <c r="C121" s="97" t="s">
        <v>203</v>
      </c>
      <c r="D121" s="98" t="s">
        <v>335</v>
      </c>
      <c r="E121" s="103" t="s">
        <v>336</v>
      </c>
      <c r="F121" s="97" t="s">
        <v>337</v>
      </c>
      <c r="G121" s="97" t="s">
        <v>338</v>
      </c>
      <c r="H121" s="99"/>
      <c r="I121" s="100"/>
      <c r="J121" s="101">
        <v>43581</v>
      </c>
      <c r="K121" s="102">
        <v>35</v>
      </c>
    </row>
  </sheetData>
  <sortState xmlns:xlrd2="http://schemas.microsoft.com/office/spreadsheetml/2017/richdata2" ref="B98:D117">
    <sortCondition ref="C98:C117"/>
  </sortState>
  <pageMargins left="0.7" right="0.7" top="0.75" bottom="0.75" header="0.3" footer="0.3"/>
  <pageSetup paperSize="9" scale="5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P99"/>
  <sheetViews>
    <sheetView workbookViewId="0">
      <selection sqref="A1:XFD1048576"/>
    </sheetView>
  </sheetViews>
  <sheetFormatPr defaultRowHeight="14.25" x14ac:dyDescent="0.45"/>
  <cols>
    <col min="1" max="1" width="10.53125" bestFit="1" customWidth="1"/>
    <col min="3" max="3" width="18.1328125" customWidth="1"/>
    <col min="4" max="4" width="20.33203125" customWidth="1"/>
    <col min="5" max="5" width="26.33203125" bestFit="1" customWidth="1"/>
    <col min="6" max="6" width="11" bestFit="1" customWidth="1"/>
    <col min="9" max="9" width="11" bestFit="1" customWidth="1"/>
    <col min="10" max="10" width="9" bestFit="1" customWidth="1"/>
    <col min="13" max="13" width="10.53125" bestFit="1" customWidth="1"/>
    <col min="15" max="15" width="10.53125" bestFit="1" customWidth="1"/>
  </cols>
  <sheetData>
    <row r="1" spans="1:16" x14ac:dyDescent="0.45">
      <c r="A1" s="96">
        <v>2</v>
      </c>
      <c r="B1" s="97" t="s">
        <v>298</v>
      </c>
      <c r="C1" s="98" t="s">
        <v>321</v>
      </c>
      <c r="D1" s="159" t="s">
        <v>1</v>
      </c>
      <c r="E1" s="97" t="s">
        <v>322</v>
      </c>
      <c r="F1" s="97" t="s">
        <v>2</v>
      </c>
      <c r="G1" s="99"/>
      <c r="H1" s="100"/>
      <c r="I1" s="101">
        <v>44118</v>
      </c>
      <c r="J1" s="102">
        <v>35</v>
      </c>
    </row>
    <row r="2" spans="1:16" x14ac:dyDescent="0.45">
      <c r="A2" s="96">
        <v>4</v>
      </c>
      <c r="B2" s="97" t="s">
        <v>219</v>
      </c>
      <c r="C2" s="98" t="s">
        <v>383</v>
      </c>
      <c r="D2" s="159" t="s">
        <v>3</v>
      </c>
      <c r="E2" s="97" t="s">
        <v>372</v>
      </c>
      <c r="F2" s="97" t="s">
        <v>4</v>
      </c>
      <c r="G2" s="99"/>
      <c r="H2" s="100"/>
      <c r="I2" s="101">
        <v>44172</v>
      </c>
      <c r="J2" s="102">
        <v>35</v>
      </c>
    </row>
    <row r="3" spans="1:16" x14ac:dyDescent="0.45">
      <c r="A3" s="96">
        <v>94</v>
      </c>
      <c r="B3" s="97" t="s">
        <v>203</v>
      </c>
      <c r="C3" s="98" t="s">
        <v>662</v>
      </c>
      <c r="D3" s="159" t="s">
        <v>663</v>
      </c>
      <c r="E3" s="97" t="s">
        <v>441</v>
      </c>
      <c r="F3" s="97" t="s">
        <v>34</v>
      </c>
      <c r="G3" s="99"/>
      <c r="H3" s="100"/>
      <c r="I3" s="101">
        <v>44267</v>
      </c>
      <c r="J3" s="102">
        <v>67.5</v>
      </c>
    </row>
    <row r="4" spans="1:16" x14ac:dyDescent="0.45">
      <c r="A4" s="96">
        <v>6</v>
      </c>
      <c r="B4" s="97" t="s">
        <v>203</v>
      </c>
      <c r="C4" s="98" t="s">
        <v>479</v>
      </c>
      <c r="D4" s="159" t="s">
        <v>650</v>
      </c>
      <c r="E4" s="125">
        <v>6</v>
      </c>
      <c r="F4" s="107" t="s">
        <v>66</v>
      </c>
      <c r="G4" s="99"/>
      <c r="H4" s="100"/>
      <c r="I4" s="101">
        <v>44267</v>
      </c>
      <c r="J4" s="102">
        <v>105</v>
      </c>
    </row>
    <row r="5" spans="1:16" x14ac:dyDescent="0.45">
      <c r="A5" s="96">
        <v>8</v>
      </c>
      <c r="B5" s="97" t="s">
        <v>222</v>
      </c>
      <c r="C5" s="98" t="s">
        <v>275</v>
      </c>
      <c r="D5" s="159" t="s">
        <v>442</v>
      </c>
      <c r="E5" s="97" t="s">
        <v>396</v>
      </c>
      <c r="F5" s="97" t="s">
        <v>68</v>
      </c>
      <c r="G5" s="99"/>
      <c r="H5" s="100"/>
      <c r="I5" s="101">
        <v>44111</v>
      </c>
      <c r="J5" s="102">
        <v>35</v>
      </c>
    </row>
    <row r="6" spans="1:16" x14ac:dyDescent="0.45">
      <c r="A6" s="96">
        <v>9</v>
      </c>
      <c r="B6" s="97" t="s">
        <v>200</v>
      </c>
      <c r="C6" s="98" t="s">
        <v>201</v>
      </c>
      <c r="D6" s="159" t="s">
        <v>5</v>
      </c>
      <c r="E6" s="97" t="s">
        <v>202</v>
      </c>
      <c r="F6" s="97" t="s">
        <v>6</v>
      </c>
      <c r="G6" s="99"/>
      <c r="H6" s="100"/>
      <c r="I6" s="101">
        <v>44169</v>
      </c>
      <c r="J6" s="102">
        <v>35</v>
      </c>
    </row>
    <row r="7" spans="1:16" x14ac:dyDescent="0.45">
      <c r="A7" s="96">
        <v>98</v>
      </c>
      <c r="B7" s="97" t="s">
        <v>203</v>
      </c>
      <c r="C7" s="98" t="s">
        <v>670</v>
      </c>
      <c r="D7" s="159" t="s">
        <v>543</v>
      </c>
      <c r="E7" s="97" t="s">
        <v>671</v>
      </c>
      <c r="F7" s="97" t="s">
        <v>64</v>
      </c>
      <c r="G7" s="99"/>
      <c r="H7" s="100"/>
      <c r="I7" s="101">
        <v>44221</v>
      </c>
      <c r="J7" s="102">
        <v>51</v>
      </c>
    </row>
    <row r="8" spans="1:16" x14ac:dyDescent="0.45">
      <c r="A8" s="96">
        <v>10</v>
      </c>
      <c r="B8" s="97" t="s">
        <v>222</v>
      </c>
      <c r="C8" s="98" t="s">
        <v>418</v>
      </c>
      <c r="D8" s="159" t="s">
        <v>419</v>
      </c>
      <c r="E8" s="97" t="s">
        <v>56</v>
      </c>
      <c r="F8" s="97" t="s">
        <v>57</v>
      </c>
      <c r="G8" s="99"/>
      <c r="H8" s="100"/>
      <c r="I8" s="101">
        <v>44218</v>
      </c>
      <c r="J8" s="102">
        <v>70</v>
      </c>
    </row>
    <row r="9" spans="1:16" x14ac:dyDescent="0.45">
      <c r="A9" s="96">
        <v>15</v>
      </c>
      <c r="B9" s="97" t="s">
        <v>200</v>
      </c>
      <c r="C9" s="98" t="s">
        <v>213</v>
      </c>
      <c r="D9" s="159" t="s">
        <v>17</v>
      </c>
      <c r="E9" s="97" t="s">
        <v>544</v>
      </c>
      <c r="F9" s="97" t="s">
        <v>360</v>
      </c>
      <c r="G9" s="99"/>
      <c r="H9" s="100"/>
      <c r="I9" s="147">
        <v>44111</v>
      </c>
      <c r="J9" s="102">
        <v>35</v>
      </c>
    </row>
    <row r="10" spans="1:16" x14ac:dyDescent="0.45">
      <c r="A10" s="96">
        <v>11</v>
      </c>
      <c r="B10" s="98" t="s">
        <v>219</v>
      </c>
      <c r="C10" s="98" t="s">
        <v>668</v>
      </c>
      <c r="D10" s="160" t="s">
        <v>294</v>
      </c>
      <c r="E10" s="98" t="s">
        <v>295</v>
      </c>
      <c r="F10" s="98" t="s">
        <v>8</v>
      </c>
      <c r="G10" s="99"/>
      <c r="H10" s="100"/>
      <c r="I10" s="101">
        <v>44274</v>
      </c>
      <c r="J10" s="102">
        <v>105</v>
      </c>
    </row>
    <row r="11" spans="1:16" x14ac:dyDescent="0.45">
      <c r="A11" s="96">
        <v>12</v>
      </c>
      <c r="B11" s="97" t="s">
        <v>219</v>
      </c>
      <c r="C11" s="98" t="s">
        <v>484</v>
      </c>
      <c r="D11" s="159" t="s">
        <v>69</v>
      </c>
      <c r="E11" s="125">
        <v>33</v>
      </c>
      <c r="F11" s="97" t="s">
        <v>70</v>
      </c>
      <c r="G11" s="99"/>
      <c r="H11" s="100"/>
      <c r="I11" s="101">
        <v>44119</v>
      </c>
      <c r="J11" s="102">
        <v>35</v>
      </c>
    </row>
    <row r="12" spans="1:16" x14ac:dyDescent="0.45">
      <c r="A12" s="96">
        <v>14</v>
      </c>
      <c r="B12" s="97" t="s">
        <v>219</v>
      </c>
      <c r="C12" s="98" t="s">
        <v>105</v>
      </c>
      <c r="D12" s="159" t="s">
        <v>90</v>
      </c>
      <c r="E12" s="97" t="s">
        <v>557</v>
      </c>
      <c r="F12" s="97" t="s">
        <v>558</v>
      </c>
      <c r="G12" s="99"/>
      <c r="H12" s="100"/>
      <c r="I12" s="101">
        <v>44270</v>
      </c>
      <c r="J12" s="102">
        <v>67.5</v>
      </c>
    </row>
    <row r="13" spans="1:16" x14ac:dyDescent="0.45">
      <c r="A13" s="96">
        <v>19</v>
      </c>
      <c r="B13" s="97" t="s">
        <v>219</v>
      </c>
      <c r="C13" s="98" t="s">
        <v>602</v>
      </c>
      <c r="D13" s="159" t="s">
        <v>601</v>
      </c>
      <c r="E13" s="97" t="s">
        <v>211</v>
      </c>
      <c r="F13" s="97" t="s">
        <v>230</v>
      </c>
      <c r="G13" s="107"/>
      <c r="H13" s="107"/>
      <c r="I13" s="148">
        <v>44270</v>
      </c>
      <c r="J13" s="102">
        <v>70</v>
      </c>
    </row>
    <row r="14" spans="1:16" s="120" customFormat="1" x14ac:dyDescent="0.45">
      <c r="A14" s="96">
        <v>16</v>
      </c>
      <c r="B14" s="124" t="s">
        <v>203</v>
      </c>
      <c r="C14" s="124" t="s">
        <v>472</v>
      </c>
      <c r="D14" s="124" t="s">
        <v>91</v>
      </c>
      <c r="E14" s="119">
        <v>48</v>
      </c>
      <c r="F14" s="124" t="s">
        <v>6</v>
      </c>
      <c r="G14" s="128"/>
      <c r="H14" s="129"/>
      <c r="I14" s="130">
        <v>44130</v>
      </c>
      <c r="J14" s="102">
        <v>35</v>
      </c>
      <c r="K14"/>
      <c r="L14"/>
      <c r="M14"/>
      <c r="N14"/>
      <c r="O14"/>
      <c r="P14"/>
    </row>
    <row r="15" spans="1:16" x14ac:dyDescent="0.45">
      <c r="A15" s="96">
        <v>97</v>
      </c>
      <c r="B15" s="97" t="s">
        <v>262</v>
      </c>
      <c r="C15" s="98" t="s">
        <v>335</v>
      </c>
      <c r="D15" s="159" t="s">
        <v>9</v>
      </c>
      <c r="E15" s="97" t="s">
        <v>667</v>
      </c>
      <c r="F15" s="97" t="s">
        <v>558</v>
      </c>
      <c r="G15" s="99"/>
      <c r="H15" s="100"/>
      <c r="I15" s="101">
        <v>44120</v>
      </c>
      <c r="J15" s="102">
        <v>35</v>
      </c>
    </row>
    <row r="16" spans="1:16" x14ac:dyDescent="0.45">
      <c r="A16" s="96">
        <v>17</v>
      </c>
      <c r="B16" s="97" t="s">
        <v>298</v>
      </c>
      <c r="C16" s="98" t="s">
        <v>420</v>
      </c>
      <c r="D16" s="159" t="s">
        <v>10</v>
      </c>
      <c r="E16" s="97" t="s">
        <v>421</v>
      </c>
      <c r="F16" s="97" t="s">
        <v>11</v>
      </c>
      <c r="G16" s="99"/>
      <c r="H16" s="100"/>
      <c r="I16" s="101">
        <v>44118</v>
      </c>
      <c r="J16" s="102">
        <v>35</v>
      </c>
    </row>
    <row r="17" spans="1:16" x14ac:dyDescent="0.45">
      <c r="A17" s="96">
        <v>83</v>
      </c>
      <c r="B17" s="97"/>
      <c r="C17" s="98" t="s">
        <v>658</v>
      </c>
      <c r="D17" s="159" t="s">
        <v>94</v>
      </c>
      <c r="E17" s="97" t="s">
        <v>469</v>
      </c>
      <c r="F17" s="97" t="s">
        <v>6</v>
      </c>
      <c r="G17" s="99"/>
      <c r="H17" s="100"/>
      <c r="I17" s="101">
        <v>44267</v>
      </c>
      <c r="J17" s="102">
        <v>67.5</v>
      </c>
    </row>
    <row r="18" spans="1:16" x14ac:dyDescent="0.45">
      <c r="A18" s="96">
        <v>20</v>
      </c>
      <c r="B18" s="97" t="s">
        <v>200</v>
      </c>
      <c r="C18" s="98" t="s">
        <v>443</v>
      </c>
      <c r="D18" s="159" t="s">
        <v>71</v>
      </c>
      <c r="E18" s="97" t="s">
        <v>444</v>
      </c>
      <c r="F18" s="97" t="s">
        <v>72</v>
      </c>
      <c r="G18" s="99"/>
      <c r="H18" s="100"/>
      <c r="I18" s="101">
        <v>44119</v>
      </c>
      <c r="J18" s="102">
        <v>70</v>
      </c>
    </row>
    <row r="19" spans="1:16" x14ac:dyDescent="0.45">
      <c r="A19" s="96">
        <v>21</v>
      </c>
      <c r="B19" s="97" t="s">
        <v>222</v>
      </c>
      <c r="C19" s="98" t="s">
        <v>323</v>
      </c>
      <c r="D19" s="159" t="s">
        <v>324</v>
      </c>
      <c r="E19" s="97" t="s">
        <v>253</v>
      </c>
      <c r="F19" s="97" t="s">
        <v>32</v>
      </c>
      <c r="G19" s="99"/>
      <c r="H19" s="100"/>
      <c r="I19" s="101">
        <v>44130</v>
      </c>
      <c r="J19" s="102">
        <v>35</v>
      </c>
      <c r="K19" s="120"/>
      <c r="L19" s="120"/>
      <c r="M19" s="120"/>
      <c r="N19" s="120"/>
      <c r="O19" s="120"/>
      <c r="P19" s="120"/>
    </row>
    <row r="20" spans="1:16" x14ac:dyDescent="0.45">
      <c r="A20" s="96">
        <v>22</v>
      </c>
      <c r="B20" s="98" t="s">
        <v>219</v>
      </c>
      <c r="C20" s="98" t="s">
        <v>28</v>
      </c>
      <c r="D20" s="160" t="s">
        <v>13</v>
      </c>
      <c r="E20" s="98" t="s">
        <v>14</v>
      </c>
      <c r="F20" s="98" t="s">
        <v>15</v>
      </c>
      <c r="G20" s="99"/>
      <c r="H20" s="100"/>
      <c r="I20" s="101">
        <v>44124</v>
      </c>
      <c r="J20" s="102">
        <f>35+35</f>
        <v>70</v>
      </c>
    </row>
    <row r="21" spans="1:16" x14ac:dyDescent="0.45">
      <c r="A21" s="96">
        <v>23</v>
      </c>
      <c r="B21" s="98" t="s">
        <v>298</v>
      </c>
      <c r="C21" s="98" t="s">
        <v>377</v>
      </c>
      <c r="D21" s="160" t="s">
        <v>73</v>
      </c>
      <c r="E21" s="98" t="s">
        <v>533</v>
      </c>
      <c r="F21" s="98" t="s">
        <v>74</v>
      </c>
      <c r="G21" s="99"/>
      <c r="H21" s="100"/>
      <c r="I21" s="101">
        <v>44119</v>
      </c>
      <c r="J21" s="102">
        <v>35</v>
      </c>
    </row>
    <row r="22" spans="1:16" x14ac:dyDescent="0.45">
      <c r="A22" s="96">
        <v>25</v>
      </c>
      <c r="B22" s="97" t="s">
        <v>222</v>
      </c>
      <c r="C22" s="98" t="s">
        <v>333</v>
      </c>
      <c r="D22" s="159" t="s">
        <v>75</v>
      </c>
      <c r="E22" s="97" t="s">
        <v>334</v>
      </c>
      <c r="F22" s="97" t="s">
        <v>76</v>
      </c>
      <c r="G22" s="99"/>
      <c r="H22" s="100"/>
      <c r="I22" s="101">
        <v>44270</v>
      </c>
      <c r="J22" s="102">
        <v>105</v>
      </c>
    </row>
    <row r="23" spans="1:16" x14ac:dyDescent="0.45">
      <c r="A23" s="96">
        <v>27</v>
      </c>
      <c r="B23" s="97" t="s">
        <v>222</v>
      </c>
      <c r="C23" s="98" t="s">
        <v>296</v>
      </c>
      <c r="D23" s="159" t="s">
        <v>16</v>
      </c>
      <c r="E23" s="97" t="s">
        <v>297</v>
      </c>
      <c r="F23" s="97" t="s">
        <v>18</v>
      </c>
      <c r="G23" s="99"/>
      <c r="H23" s="100"/>
      <c r="I23" s="101">
        <v>44117</v>
      </c>
      <c r="J23" s="102">
        <v>35</v>
      </c>
    </row>
    <row r="24" spans="1:16" x14ac:dyDescent="0.45">
      <c r="A24" s="96">
        <v>29</v>
      </c>
      <c r="B24" s="97" t="s">
        <v>203</v>
      </c>
      <c r="C24" s="98" t="s">
        <v>509</v>
      </c>
      <c r="D24" s="159" t="s">
        <v>95</v>
      </c>
      <c r="E24" s="97" t="s">
        <v>510</v>
      </c>
      <c r="F24" s="97" t="s">
        <v>511</v>
      </c>
      <c r="G24" s="99"/>
      <c r="H24" s="100"/>
      <c r="I24" s="101">
        <v>44117</v>
      </c>
      <c r="J24" s="102">
        <f>35+35</f>
        <v>70</v>
      </c>
    </row>
    <row r="25" spans="1:16" x14ac:dyDescent="0.45">
      <c r="A25" s="96">
        <v>26</v>
      </c>
      <c r="B25" s="97" t="s">
        <v>203</v>
      </c>
      <c r="C25" s="98" t="s">
        <v>581</v>
      </c>
      <c r="D25" s="159" t="s">
        <v>19</v>
      </c>
      <c r="E25" s="97" t="s">
        <v>441</v>
      </c>
      <c r="F25" s="97" t="s">
        <v>582</v>
      </c>
      <c r="G25" s="99"/>
      <c r="H25" s="100"/>
      <c r="I25" s="147">
        <v>44162</v>
      </c>
      <c r="J25" s="102">
        <v>70</v>
      </c>
    </row>
    <row r="26" spans="1:16" x14ac:dyDescent="0.45">
      <c r="A26" s="96">
        <v>31</v>
      </c>
      <c r="B26" s="98" t="s">
        <v>222</v>
      </c>
      <c r="C26" s="98" t="s">
        <v>201</v>
      </c>
      <c r="D26" s="160" t="s">
        <v>502</v>
      </c>
      <c r="E26" s="98" t="s">
        <v>503</v>
      </c>
      <c r="F26" s="105" t="s">
        <v>329</v>
      </c>
      <c r="G26" s="99"/>
      <c r="H26" s="100"/>
      <c r="I26" s="101">
        <v>44111</v>
      </c>
      <c r="J26" s="102">
        <v>35</v>
      </c>
    </row>
    <row r="27" spans="1:16" x14ac:dyDescent="0.45">
      <c r="A27" s="96">
        <v>32</v>
      </c>
      <c r="B27" s="98" t="s">
        <v>222</v>
      </c>
      <c r="C27" s="98" t="s">
        <v>583</v>
      </c>
      <c r="D27" s="160" t="s">
        <v>502</v>
      </c>
      <c r="E27" s="98" t="s">
        <v>584</v>
      </c>
      <c r="F27" s="98" t="s">
        <v>26</v>
      </c>
      <c r="G27" s="99"/>
      <c r="H27" s="100"/>
      <c r="I27" s="147">
        <v>44172</v>
      </c>
      <c r="J27" s="102">
        <v>70</v>
      </c>
    </row>
    <row r="28" spans="1:16" x14ac:dyDescent="0.45">
      <c r="A28" s="96">
        <v>96</v>
      </c>
      <c r="B28" s="97" t="s">
        <v>203</v>
      </c>
      <c r="C28" s="98" t="s">
        <v>665</v>
      </c>
      <c r="D28" s="159" t="s">
        <v>220</v>
      </c>
      <c r="E28" s="97" t="s">
        <v>372</v>
      </c>
      <c r="F28" s="97" t="s">
        <v>666</v>
      </c>
      <c r="G28" s="99"/>
      <c r="H28" s="100"/>
      <c r="I28" s="101">
        <v>44267</v>
      </c>
      <c r="J28" s="102">
        <v>50</v>
      </c>
    </row>
    <row r="29" spans="1:16" x14ac:dyDescent="0.45">
      <c r="A29" s="96">
        <v>34</v>
      </c>
      <c r="B29" s="97" t="s">
        <v>203</v>
      </c>
      <c r="C29" s="98" t="s">
        <v>594</v>
      </c>
      <c r="D29" s="159" t="s">
        <v>98</v>
      </c>
      <c r="E29" s="125">
        <v>18</v>
      </c>
      <c r="F29" s="97" t="s">
        <v>114</v>
      </c>
      <c r="G29" s="99"/>
      <c r="H29" s="100"/>
      <c r="I29" s="147">
        <v>44099</v>
      </c>
      <c r="J29" s="102">
        <v>35</v>
      </c>
    </row>
    <row r="30" spans="1:16" x14ac:dyDescent="0.45">
      <c r="A30" s="96">
        <v>37</v>
      </c>
      <c r="B30" s="97" t="s">
        <v>203</v>
      </c>
      <c r="C30" s="98" t="s">
        <v>351</v>
      </c>
      <c r="D30" s="159" t="s">
        <v>20</v>
      </c>
      <c r="E30" s="97" t="s">
        <v>22</v>
      </c>
      <c r="F30" s="97" t="s">
        <v>23</v>
      </c>
      <c r="G30" s="99"/>
      <c r="H30" s="100"/>
      <c r="I30" s="101">
        <v>44124</v>
      </c>
      <c r="J30" s="102">
        <f>70+35</f>
        <v>105</v>
      </c>
    </row>
    <row r="31" spans="1:16" x14ac:dyDescent="0.45">
      <c r="A31" s="96">
        <v>38</v>
      </c>
      <c r="B31" s="97" t="s">
        <v>298</v>
      </c>
      <c r="C31" s="98" t="s">
        <v>495</v>
      </c>
      <c r="D31" s="159" t="s">
        <v>24</v>
      </c>
      <c r="E31" s="97" t="s">
        <v>496</v>
      </c>
      <c r="F31" s="97" t="s">
        <v>76</v>
      </c>
      <c r="G31" s="99"/>
      <c r="H31" s="100"/>
      <c r="I31" s="101">
        <v>44119</v>
      </c>
      <c r="J31" s="102">
        <v>35</v>
      </c>
      <c r="L31" s="117"/>
    </row>
    <row r="32" spans="1:16" x14ac:dyDescent="0.45">
      <c r="A32" s="96">
        <v>99</v>
      </c>
      <c r="B32" s="97"/>
      <c r="C32" s="98" t="s">
        <v>674</v>
      </c>
      <c r="D32" s="159" t="s">
        <v>482</v>
      </c>
      <c r="E32" s="97" t="s">
        <v>455</v>
      </c>
      <c r="F32" s="97" t="s">
        <v>70</v>
      </c>
      <c r="G32" s="99"/>
      <c r="H32" s="100"/>
      <c r="I32" s="101">
        <v>44113</v>
      </c>
      <c r="J32" s="102">
        <v>35</v>
      </c>
    </row>
    <row r="33" spans="1:11" x14ac:dyDescent="0.45">
      <c r="A33" s="96">
        <v>43</v>
      </c>
      <c r="B33" s="97" t="s">
        <v>219</v>
      </c>
      <c r="C33" s="98" t="s">
        <v>573</v>
      </c>
      <c r="D33" s="159" t="s">
        <v>574</v>
      </c>
      <c r="E33" s="97" t="s">
        <v>441</v>
      </c>
      <c r="F33" s="97" t="s">
        <v>575</v>
      </c>
      <c r="G33" s="99"/>
      <c r="H33" s="100"/>
      <c r="I33" s="101">
        <v>44272</v>
      </c>
      <c r="J33" s="102">
        <f>70+35</f>
        <v>105</v>
      </c>
    </row>
    <row r="34" spans="1:11" x14ac:dyDescent="0.45">
      <c r="A34" s="96">
        <v>44</v>
      </c>
      <c r="B34" s="97" t="s">
        <v>219</v>
      </c>
      <c r="C34" s="98" t="s">
        <v>41</v>
      </c>
      <c r="D34" s="159" t="s">
        <v>77</v>
      </c>
      <c r="E34" s="97" t="s">
        <v>428</v>
      </c>
      <c r="F34" s="97" t="s">
        <v>18</v>
      </c>
      <c r="G34" s="99"/>
      <c r="H34" s="100"/>
      <c r="I34" s="101">
        <v>44112</v>
      </c>
      <c r="J34" s="102">
        <v>35</v>
      </c>
    </row>
    <row r="35" spans="1:11" x14ac:dyDescent="0.45">
      <c r="A35" s="96">
        <v>36</v>
      </c>
      <c r="B35" s="97" t="s">
        <v>219</v>
      </c>
      <c r="C35" s="98" t="s">
        <v>598</v>
      </c>
      <c r="D35" s="159" t="s">
        <v>101</v>
      </c>
      <c r="E35" s="97" t="s">
        <v>599</v>
      </c>
      <c r="F35" s="97" t="s">
        <v>600</v>
      </c>
      <c r="G35" s="99"/>
      <c r="H35" s="100"/>
      <c r="I35" s="147">
        <v>44267</v>
      </c>
      <c r="J35" s="102">
        <v>67.5</v>
      </c>
    </row>
    <row r="36" spans="1:11" x14ac:dyDescent="0.45">
      <c r="A36" s="96">
        <v>46</v>
      </c>
      <c r="B36" s="97" t="s">
        <v>203</v>
      </c>
      <c r="C36" s="98" t="s">
        <v>536</v>
      </c>
      <c r="D36" s="159" t="s">
        <v>78</v>
      </c>
      <c r="E36" s="97" t="s">
        <v>537</v>
      </c>
      <c r="F36" s="97" t="s">
        <v>81</v>
      </c>
      <c r="G36" s="99"/>
      <c r="H36" s="100"/>
      <c r="I36" s="101">
        <v>44273</v>
      </c>
      <c r="J36" s="102">
        <v>70</v>
      </c>
    </row>
    <row r="37" spans="1:11" x14ac:dyDescent="0.45">
      <c r="A37" s="96">
        <v>41</v>
      </c>
      <c r="B37" s="97" t="s">
        <v>219</v>
      </c>
      <c r="C37" s="98" t="s">
        <v>236</v>
      </c>
      <c r="D37" s="159" t="s">
        <v>62</v>
      </c>
      <c r="E37" s="97" t="s">
        <v>354</v>
      </c>
      <c r="F37" s="97" t="s">
        <v>55</v>
      </c>
      <c r="G37" s="99"/>
      <c r="H37" s="100"/>
      <c r="I37" s="147">
        <v>44221</v>
      </c>
      <c r="J37" s="102">
        <v>70</v>
      </c>
    </row>
    <row r="38" spans="1:11" x14ac:dyDescent="0.45">
      <c r="A38" s="96">
        <v>50</v>
      </c>
      <c r="B38" s="98" t="s">
        <v>200</v>
      </c>
      <c r="C38" s="98" t="s">
        <v>566</v>
      </c>
      <c r="D38" s="160" t="s">
        <v>103</v>
      </c>
      <c r="E38" s="98" t="s">
        <v>567</v>
      </c>
      <c r="F38" s="98" t="s">
        <v>37</v>
      </c>
      <c r="G38" s="99"/>
      <c r="H38" s="100"/>
      <c r="I38" s="101">
        <v>44117</v>
      </c>
      <c r="J38" s="102">
        <v>35</v>
      </c>
    </row>
    <row r="39" spans="1:11" x14ac:dyDescent="0.45">
      <c r="A39" s="96">
        <v>52</v>
      </c>
      <c r="B39" s="97" t="s">
        <v>219</v>
      </c>
      <c r="C39" s="98" t="s">
        <v>45</v>
      </c>
      <c r="D39" s="159" t="s">
        <v>80</v>
      </c>
      <c r="E39" s="106" t="s">
        <v>370</v>
      </c>
      <c r="F39" s="97" t="s">
        <v>81</v>
      </c>
      <c r="G39" s="99"/>
      <c r="H39" s="100"/>
      <c r="I39" s="101">
        <v>44119</v>
      </c>
      <c r="J39" s="102">
        <v>70</v>
      </c>
    </row>
    <row r="40" spans="1:11" x14ac:dyDescent="0.45">
      <c r="A40" s="96">
        <v>56</v>
      </c>
      <c r="B40" s="98" t="s">
        <v>219</v>
      </c>
      <c r="C40" s="98" t="s">
        <v>109</v>
      </c>
      <c r="D40" s="160" t="s">
        <v>48</v>
      </c>
      <c r="E40" s="98" t="s">
        <v>527</v>
      </c>
      <c r="F40" s="98" t="s">
        <v>241</v>
      </c>
      <c r="G40" s="99"/>
      <c r="H40" s="100"/>
      <c r="I40" s="101">
        <v>44218</v>
      </c>
      <c r="J40" s="102">
        <v>70</v>
      </c>
    </row>
    <row r="41" spans="1:11" x14ac:dyDescent="0.45">
      <c r="A41" s="96">
        <v>57</v>
      </c>
      <c r="B41" s="97" t="s">
        <v>203</v>
      </c>
      <c r="C41" s="98" t="s">
        <v>325</v>
      </c>
      <c r="D41" s="159" t="s">
        <v>29</v>
      </c>
      <c r="E41" s="97" t="s">
        <v>326</v>
      </c>
      <c r="F41" s="97" t="s">
        <v>30</v>
      </c>
      <c r="G41" s="107"/>
      <c r="H41" s="107"/>
      <c r="I41" s="146">
        <v>44267</v>
      </c>
      <c r="J41" s="102">
        <v>70</v>
      </c>
      <c r="K41" s="12">
        <v>232.5</v>
      </c>
    </row>
    <row r="42" spans="1:11" x14ac:dyDescent="0.45">
      <c r="A42" s="96">
        <v>58</v>
      </c>
      <c r="B42" s="97" t="s">
        <v>203</v>
      </c>
      <c r="C42" s="98" t="s">
        <v>275</v>
      </c>
      <c r="D42" s="159" t="s">
        <v>33</v>
      </c>
      <c r="E42" s="97" t="s">
        <v>238</v>
      </c>
      <c r="F42" s="97" t="s">
        <v>34</v>
      </c>
      <c r="G42" s="99"/>
      <c r="H42" s="100"/>
      <c r="I42" s="101">
        <v>44267</v>
      </c>
      <c r="J42" s="102">
        <f>70+35+35</f>
        <v>140</v>
      </c>
    </row>
    <row r="43" spans="1:11" x14ac:dyDescent="0.45">
      <c r="A43" s="96">
        <v>93</v>
      </c>
      <c r="B43" s="97" t="s">
        <v>653</v>
      </c>
      <c r="C43" s="98" t="s">
        <v>659</v>
      </c>
      <c r="D43" s="159" t="s">
        <v>660</v>
      </c>
      <c r="E43" s="97" t="s">
        <v>661</v>
      </c>
      <c r="F43" s="97" t="s">
        <v>11</v>
      </c>
      <c r="G43" s="99"/>
      <c r="H43" s="100"/>
      <c r="I43" s="101">
        <v>44270</v>
      </c>
      <c r="J43" s="102">
        <v>67.5</v>
      </c>
    </row>
    <row r="44" spans="1:11" x14ac:dyDescent="0.45">
      <c r="A44" s="96">
        <v>60</v>
      </c>
      <c r="B44" s="97" t="s">
        <v>203</v>
      </c>
      <c r="C44" s="98" t="s">
        <v>384</v>
      </c>
      <c r="D44" s="159" t="s">
        <v>82</v>
      </c>
      <c r="E44" s="106" t="s">
        <v>385</v>
      </c>
      <c r="F44" s="97" t="s">
        <v>386</v>
      </c>
      <c r="G44" s="99"/>
      <c r="H44" s="100"/>
      <c r="I44" s="101">
        <v>44130</v>
      </c>
      <c r="J44" s="102">
        <v>70</v>
      </c>
    </row>
    <row r="45" spans="1:11" x14ac:dyDescent="0.45">
      <c r="A45" s="96">
        <v>61</v>
      </c>
      <c r="B45" s="97" t="s">
        <v>222</v>
      </c>
      <c r="C45" s="98" t="s">
        <v>325</v>
      </c>
      <c r="D45" s="159" t="s">
        <v>669</v>
      </c>
      <c r="E45" s="97" t="s">
        <v>54</v>
      </c>
      <c r="F45" s="97" t="s">
        <v>55</v>
      </c>
      <c r="G45" s="99"/>
      <c r="H45" s="100"/>
      <c r="I45" s="101">
        <v>44218</v>
      </c>
      <c r="J45" s="102">
        <v>70</v>
      </c>
    </row>
    <row r="46" spans="1:11" x14ac:dyDescent="0.45">
      <c r="A46" s="96">
        <v>62</v>
      </c>
      <c r="B46" s="97" t="s">
        <v>219</v>
      </c>
      <c r="C46" s="98" t="s">
        <v>235</v>
      </c>
      <c r="D46" s="159" t="s">
        <v>35</v>
      </c>
      <c r="E46" s="97" t="s">
        <v>36</v>
      </c>
      <c r="F46" s="97" t="s">
        <v>37</v>
      </c>
      <c r="G46" s="99"/>
      <c r="H46" s="100"/>
      <c r="I46" s="101">
        <v>44097</v>
      </c>
      <c r="J46" s="102">
        <v>35</v>
      </c>
    </row>
    <row r="47" spans="1:11" x14ac:dyDescent="0.45">
      <c r="A47" s="96">
        <v>95</v>
      </c>
      <c r="B47" s="97" t="s">
        <v>298</v>
      </c>
      <c r="C47" s="98" t="s">
        <v>47</v>
      </c>
      <c r="D47" s="159" t="s">
        <v>106</v>
      </c>
      <c r="E47" s="97" t="s">
        <v>664</v>
      </c>
      <c r="F47" s="97" t="s">
        <v>6</v>
      </c>
      <c r="G47" s="99"/>
      <c r="H47" s="100"/>
      <c r="I47" s="101">
        <v>44126</v>
      </c>
      <c r="J47" s="102">
        <v>35</v>
      </c>
    </row>
    <row r="48" spans="1:11" x14ac:dyDescent="0.45">
      <c r="A48" s="96">
        <v>64</v>
      </c>
      <c r="B48" s="97" t="s">
        <v>200</v>
      </c>
      <c r="C48" s="98" t="s">
        <v>380</v>
      </c>
      <c r="D48" s="159" t="s">
        <v>107</v>
      </c>
      <c r="E48" s="97" t="s">
        <v>570</v>
      </c>
      <c r="F48" s="97" t="s">
        <v>571</v>
      </c>
      <c r="G48" s="99"/>
      <c r="H48" s="100"/>
      <c r="I48" s="101">
        <v>44125</v>
      </c>
      <c r="J48" s="102">
        <v>35</v>
      </c>
    </row>
    <row r="49" spans="1:10" x14ac:dyDescent="0.45">
      <c r="A49" s="96">
        <v>81</v>
      </c>
      <c r="B49" s="98" t="s">
        <v>653</v>
      </c>
      <c r="C49" s="98" t="s">
        <v>654</v>
      </c>
      <c r="D49" s="160" t="s">
        <v>210</v>
      </c>
      <c r="E49" s="98" t="s">
        <v>510</v>
      </c>
      <c r="F49" s="98" t="s">
        <v>655</v>
      </c>
      <c r="G49" s="99"/>
      <c r="H49" s="100"/>
      <c r="I49" s="101">
        <v>44273</v>
      </c>
      <c r="J49" s="102">
        <v>35</v>
      </c>
    </row>
    <row r="50" spans="1:10" x14ac:dyDescent="0.45">
      <c r="A50" s="96">
        <v>67</v>
      </c>
      <c r="B50" s="107" t="s">
        <v>200</v>
      </c>
      <c r="C50" s="107" t="s">
        <v>391</v>
      </c>
      <c r="D50" s="107" t="s">
        <v>83</v>
      </c>
      <c r="E50" s="106" t="s">
        <v>84</v>
      </c>
      <c r="F50" s="107" t="s">
        <v>85</v>
      </c>
      <c r="G50" s="99"/>
      <c r="H50" s="100"/>
      <c r="I50" s="101">
        <v>44123</v>
      </c>
      <c r="J50" s="102">
        <v>35</v>
      </c>
    </row>
    <row r="51" spans="1:10" x14ac:dyDescent="0.45">
      <c r="A51" s="96">
        <v>40</v>
      </c>
      <c r="B51" s="97" t="s">
        <v>242</v>
      </c>
      <c r="C51" s="98" t="s">
        <v>588</v>
      </c>
      <c r="D51" s="159" t="s">
        <v>589</v>
      </c>
      <c r="E51" s="97" t="s">
        <v>483</v>
      </c>
      <c r="F51" s="97" t="s">
        <v>70</v>
      </c>
      <c r="G51" s="99"/>
      <c r="H51" s="100"/>
      <c r="I51" s="101">
        <v>44112</v>
      </c>
      <c r="J51" s="102">
        <v>35</v>
      </c>
    </row>
    <row r="52" spans="1:10" x14ac:dyDescent="0.45">
      <c r="A52" s="96">
        <v>24</v>
      </c>
      <c r="B52" s="97" t="s">
        <v>298</v>
      </c>
      <c r="C52" s="98" t="s">
        <v>648</v>
      </c>
      <c r="D52" s="159" t="s">
        <v>108</v>
      </c>
      <c r="E52" s="97" t="s">
        <v>649</v>
      </c>
      <c r="F52" s="97" t="s">
        <v>434</v>
      </c>
      <c r="G52" s="99"/>
      <c r="H52" s="100"/>
      <c r="I52" s="147">
        <v>44270</v>
      </c>
      <c r="J52" s="102">
        <v>70</v>
      </c>
    </row>
    <row r="53" spans="1:10" x14ac:dyDescent="0.45">
      <c r="A53" s="96">
        <v>68</v>
      </c>
      <c r="B53" s="97" t="s">
        <v>200</v>
      </c>
      <c r="C53" s="98" t="s">
        <v>252</v>
      </c>
      <c r="D53" s="159" t="s">
        <v>31</v>
      </c>
      <c r="E53" s="97" t="s">
        <v>253</v>
      </c>
      <c r="F53" s="97" t="s">
        <v>32</v>
      </c>
      <c r="G53" s="99"/>
      <c r="H53" s="100"/>
      <c r="I53" s="101">
        <v>44117</v>
      </c>
      <c r="J53" s="102">
        <v>35</v>
      </c>
    </row>
    <row r="54" spans="1:10" x14ac:dyDescent="0.45">
      <c r="A54" s="96">
        <v>70</v>
      </c>
      <c r="B54" s="97" t="s">
        <v>200</v>
      </c>
      <c r="C54" s="98" t="s">
        <v>296</v>
      </c>
      <c r="D54" s="159" t="s">
        <v>38</v>
      </c>
      <c r="E54" s="97" t="s">
        <v>455</v>
      </c>
      <c r="F54" s="97" t="s">
        <v>456</v>
      </c>
      <c r="G54" s="99"/>
      <c r="H54" s="100"/>
      <c r="I54" s="101">
        <v>44116</v>
      </c>
      <c r="J54" s="102">
        <v>35</v>
      </c>
    </row>
    <row r="55" spans="1:10" x14ac:dyDescent="0.45">
      <c r="A55" s="96">
        <v>59</v>
      </c>
      <c r="B55" s="97" t="s">
        <v>222</v>
      </c>
      <c r="C55" s="98" t="s">
        <v>204</v>
      </c>
      <c r="D55" s="159" t="s">
        <v>454</v>
      </c>
      <c r="E55" s="97" t="s">
        <v>406</v>
      </c>
      <c r="F55" s="97" t="s">
        <v>114</v>
      </c>
      <c r="G55" s="99"/>
      <c r="H55" s="100"/>
      <c r="I55" s="147">
        <v>44267</v>
      </c>
      <c r="J55" s="102">
        <v>140</v>
      </c>
    </row>
    <row r="56" spans="1:10" x14ac:dyDescent="0.45">
      <c r="A56" s="96">
        <v>82</v>
      </c>
      <c r="B56" s="97" t="s">
        <v>203</v>
      </c>
      <c r="C56" s="98" t="s">
        <v>656</v>
      </c>
      <c r="D56" s="159" t="s">
        <v>110</v>
      </c>
      <c r="E56" s="97" t="s">
        <v>657</v>
      </c>
      <c r="F56" s="97" t="s">
        <v>376</v>
      </c>
      <c r="G56" s="99"/>
      <c r="H56" s="100"/>
      <c r="I56" s="101">
        <v>44270</v>
      </c>
      <c r="J56" s="102">
        <v>67.5</v>
      </c>
    </row>
    <row r="57" spans="1:10" x14ac:dyDescent="0.45">
      <c r="A57" s="96">
        <v>72</v>
      </c>
      <c r="B57" s="97" t="s">
        <v>203</v>
      </c>
      <c r="C57" s="98" t="s">
        <v>551</v>
      </c>
      <c r="D57" s="159" t="s">
        <v>39</v>
      </c>
      <c r="E57" s="125">
        <v>4</v>
      </c>
      <c r="F57" s="97" t="s">
        <v>453</v>
      </c>
      <c r="G57" s="99"/>
      <c r="H57" s="100"/>
      <c r="I57" s="101">
        <v>44119</v>
      </c>
      <c r="J57" s="102">
        <v>70</v>
      </c>
    </row>
    <row r="58" spans="1:10" x14ac:dyDescent="0.45">
      <c r="A58" s="96">
        <v>73</v>
      </c>
      <c r="B58" s="98" t="s">
        <v>203</v>
      </c>
      <c r="C58" s="98" t="s">
        <v>414</v>
      </c>
      <c r="D58" s="160" t="s">
        <v>40</v>
      </c>
      <c r="E58" s="98" t="s">
        <v>415</v>
      </c>
      <c r="F58" s="98" t="s">
        <v>397</v>
      </c>
      <c r="G58" s="99"/>
      <c r="H58" s="100"/>
      <c r="I58" s="101">
        <v>44118</v>
      </c>
      <c r="J58" s="102">
        <v>35</v>
      </c>
    </row>
    <row r="59" spans="1:10" x14ac:dyDescent="0.45">
      <c r="A59" s="96">
        <v>77</v>
      </c>
      <c r="B59" s="97" t="s">
        <v>219</v>
      </c>
      <c r="C59" s="98" t="s">
        <v>604</v>
      </c>
      <c r="D59" s="159" t="s">
        <v>116</v>
      </c>
      <c r="E59" s="97" t="s">
        <v>343</v>
      </c>
      <c r="F59" s="97" t="s">
        <v>605</v>
      </c>
      <c r="G59" s="99"/>
      <c r="H59" s="100"/>
      <c r="I59" s="101">
        <v>44259</v>
      </c>
      <c r="J59" s="102">
        <v>70</v>
      </c>
    </row>
    <row r="60" spans="1:10" x14ac:dyDescent="0.45">
      <c r="A60" s="96">
        <v>80</v>
      </c>
      <c r="B60" s="97" t="s">
        <v>203</v>
      </c>
      <c r="C60" s="98" t="s">
        <v>651</v>
      </c>
      <c r="D60" s="159" t="s">
        <v>542</v>
      </c>
      <c r="E60" s="97" t="s">
        <v>652</v>
      </c>
      <c r="F60" s="97" t="s">
        <v>320</v>
      </c>
      <c r="G60" s="99"/>
      <c r="H60" s="100"/>
      <c r="I60" s="147">
        <v>44272</v>
      </c>
      <c r="J60" s="102">
        <v>70</v>
      </c>
    </row>
    <row r="61" spans="1:10" x14ac:dyDescent="0.45">
      <c r="A61" s="96">
        <v>74</v>
      </c>
      <c r="B61" s="98" t="s">
        <v>203</v>
      </c>
      <c r="C61" s="98" t="s">
        <v>335</v>
      </c>
      <c r="D61" s="160" t="s">
        <v>42</v>
      </c>
      <c r="E61" s="98" t="s">
        <v>460</v>
      </c>
      <c r="F61" s="98" t="s">
        <v>43</v>
      </c>
      <c r="G61" s="107"/>
      <c r="H61" s="107"/>
      <c r="I61" s="104">
        <v>44118</v>
      </c>
      <c r="J61" s="131">
        <v>35</v>
      </c>
    </row>
    <row r="62" spans="1:10" x14ac:dyDescent="0.45">
      <c r="A62" s="96">
        <v>79</v>
      </c>
      <c r="B62" s="97" t="s">
        <v>298</v>
      </c>
      <c r="C62" s="98" t="s">
        <v>377</v>
      </c>
      <c r="D62" s="159" t="s">
        <v>65</v>
      </c>
      <c r="E62" s="97" t="s">
        <v>606</v>
      </c>
      <c r="F62" s="97" t="s">
        <v>332</v>
      </c>
      <c r="G62" s="99"/>
      <c r="H62" s="100"/>
      <c r="I62" s="101">
        <v>44222</v>
      </c>
      <c r="J62" s="102">
        <v>70</v>
      </c>
    </row>
    <row r="63" spans="1:10" x14ac:dyDescent="0.45">
      <c r="A63" s="96">
        <v>78</v>
      </c>
      <c r="B63" s="97" t="s">
        <v>298</v>
      </c>
      <c r="C63" s="98" t="s">
        <v>497</v>
      </c>
      <c r="D63" s="159" t="s">
        <v>87</v>
      </c>
      <c r="E63" s="97" t="s">
        <v>455</v>
      </c>
      <c r="F63" s="97" t="s">
        <v>88</v>
      </c>
      <c r="G63" s="99"/>
      <c r="H63" s="100"/>
      <c r="I63" s="101">
        <v>44123</v>
      </c>
      <c r="J63" s="102">
        <v>35</v>
      </c>
    </row>
    <row r="64" spans="1:10" x14ac:dyDescent="0.45">
      <c r="A64" s="96">
        <v>101</v>
      </c>
      <c r="B64" s="97"/>
      <c r="C64" s="98"/>
      <c r="D64" s="159"/>
      <c r="E64" s="97"/>
      <c r="F64" s="97"/>
      <c r="G64" s="99"/>
      <c r="H64" s="100"/>
      <c r="I64" s="101"/>
      <c r="J64" s="102"/>
    </row>
    <row r="65" spans="1:16" x14ac:dyDescent="0.45">
      <c r="A65" s="96">
        <v>102</v>
      </c>
      <c r="B65" s="97"/>
      <c r="C65" s="98"/>
      <c r="D65" s="159"/>
      <c r="E65" s="97"/>
      <c r="F65" s="97"/>
      <c r="G65" s="99"/>
      <c r="H65" s="100"/>
      <c r="I65" s="101"/>
      <c r="L65" s="102">
        <f>SUM(J1:J64)</f>
        <v>3656</v>
      </c>
    </row>
    <row r="66" spans="1:16" x14ac:dyDescent="0.45">
      <c r="A66" s="96">
        <v>103</v>
      </c>
      <c r="B66" s="97"/>
      <c r="C66" s="98"/>
      <c r="D66" s="159"/>
      <c r="E66" s="97"/>
      <c r="F66" s="97"/>
      <c r="H66" s="7"/>
      <c r="I66" s="114"/>
      <c r="J66" s="7"/>
    </row>
    <row r="67" spans="1:16" x14ac:dyDescent="0.45">
      <c r="A67" s="96">
        <v>104</v>
      </c>
      <c r="B67" s="97"/>
      <c r="C67" s="98"/>
      <c r="D67" s="159"/>
      <c r="E67" s="97"/>
      <c r="F67" s="97"/>
      <c r="G67" s="99"/>
      <c r="H67" s="100"/>
      <c r="I67" s="101"/>
      <c r="J67" s="102"/>
    </row>
    <row r="68" spans="1:16" x14ac:dyDescent="0.45">
      <c r="A68" s="96">
        <v>105</v>
      </c>
      <c r="B68" s="97"/>
      <c r="C68" s="98"/>
      <c r="D68" s="159"/>
      <c r="E68" s="97"/>
      <c r="F68" s="97"/>
      <c r="G68" s="99"/>
      <c r="H68" s="100"/>
      <c r="I68" s="101"/>
      <c r="J68" s="102"/>
    </row>
    <row r="69" spans="1:16" x14ac:dyDescent="0.45">
      <c r="A69" s="96">
        <v>106</v>
      </c>
    </row>
    <row r="70" spans="1:16" x14ac:dyDescent="0.45">
      <c r="A70" s="96">
        <v>107</v>
      </c>
      <c r="L70" s="117"/>
    </row>
    <row r="71" spans="1:16" x14ac:dyDescent="0.45">
      <c r="A71" s="96">
        <v>108</v>
      </c>
      <c r="C71" s="118" t="s">
        <v>505</v>
      </c>
      <c r="D71" s="9">
        <v>45159</v>
      </c>
    </row>
    <row r="72" spans="1:16" x14ac:dyDescent="0.45">
      <c r="A72" s="96">
        <v>109</v>
      </c>
    </row>
    <row r="73" spans="1:16" x14ac:dyDescent="0.45">
      <c r="A73" s="96">
        <v>110</v>
      </c>
    </row>
    <row r="74" spans="1:16" x14ac:dyDescent="0.45">
      <c r="A74" s="96">
        <v>111</v>
      </c>
      <c r="C74" s="9">
        <v>43578</v>
      </c>
    </row>
    <row r="75" spans="1:16" x14ac:dyDescent="0.45">
      <c r="A75" s="96">
        <v>112</v>
      </c>
    </row>
    <row r="76" spans="1:16" x14ac:dyDescent="0.45">
      <c r="A76" s="96">
        <v>108</v>
      </c>
      <c r="B76" s="7"/>
      <c r="C76" s="7"/>
      <c r="D76" s="7"/>
      <c r="E76" s="113"/>
      <c r="F76" s="7"/>
      <c r="G76" s="7" t="s">
        <v>506</v>
      </c>
      <c r="H76" s="100"/>
      <c r="I76" s="101"/>
      <c r="J76" s="102">
        <f>E99</f>
        <v>777.5</v>
      </c>
    </row>
    <row r="77" spans="1:16" x14ac:dyDescent="0.45">
      <c r="A77" s="96">
        <v>109</v>
      </c>
      <c r="B77" s="97"/>
      <c r="C77" s="98"/>
      <c r="D77" s="159"/>
      <c r="E77" s="97"/>
      <c r="F77" s="97"/>
      <c r="H77" s="7"/>
      <c r="I77" s="114"/>
      <c r="J77" s="7"/>
    </row>
    <row r="78" spans="1:16" x14ac:dyDescent="0.45">
      <c r="A78" s="96">
        <v>110</v>
      </c>
      <c r="B78" s="97"/>
      <c r="C78" s="98"/>
      <c r="D78" s="159"/>
      <c r="E78" s="97"/>
      <c r="F78" s="97"/>
      <c r="G78" s="99"/>
      <c r="H78" s="100"/>
      <c r="I78" s="101"/>
      <c r="J78" s="102"/>
    </row>
    <row r="79" spans="1:16" x14ac:dyDescent="0.45">
      <c r="B79" s="7"/>
      <c r="C79" s="7"/>
      <c r="D79" s="7"/>
      <c r="E79" s="113"/>
      <c r="F79" s="7"/>
      <c r="G79" s="7"/>
      <c r="H79" s="7"/>
      <c r="I79" s="114"/>
      <c r="J79" s="7"/>
      <c r="P79" s="121"/>
    </row>
    <row r="80" spans="1:16" x14ac:dyDescent="0.45">
      <c r="B80" s="7"/>
      <c r="C80" s="7"/>
      <c r="D80" s="7"/>
      <c r="E80" s="113"/>
      <c r="F80" s="7"/>
      <c r="G80" s="7"/>
      <c r="H80" s="7"/>
      <c r="I80" s="114"/>
      <c r="J80" s="7"/>
    </row>
    <row r="81" spans="1:14" x14ac:dyDescent="0.45">
      <c r="E81" s="158" t="s">
        <v>673</v>
      </c>
      <c r="I81" s="116"/>
      <c r="J81" s="117">
        <f>SUM(J76+L65)</f>
        <v>4433.5</v>
      </c>
      <c r="M81" s="14" t="s">
        <v>610</v>
      </c>
      <c r="N81" s="117">
        <f>4433.5-J81</f>
        <v>0</v>
      </c>
    </row>
    <row r="82" spans="1:14" x14ac:dyDescent="0.45">
      <c r="C82" t="s">
        <v>675</v>
      </c>
      <c r="E82">
        <v>35</v>
      </c>
      <c r="F82" s="121"/>
    </row>
    <row r="83" spans="1:14" x14ac:dyDescent="0.45">
      <c r="C83" t="s">
        <v>92</v>
      </c>
      <c r="E83">
        <v>35</v>
      </c>
      <c r="F83" s="121"/>
    </row>
    <row r="84" spans="1:14" x14ac:dyDescent="0.45">
      <c r="C84" t="s">
        <v>93</v>
      </c>
      <c r="E84">
        <v>67.5</v>
      </c>
      <c r="F84" s="121"/>
    </row>
    <row r="85" spans="1:14" x14ac:dyDescent="0.45">
      <c r="C85" s="161" t="s">
        <v>12</v>
      </c>
      <c r="E85" s="157">
        <f>35+35</f>
        <v>70</v>
      </c>
      <c r="F85" s="145">
        <f>J81/4</f>
        <v>1108.375</v>
      </c>
    </row>
    <row r="86" spans="1:14" x14ac:dyDescent="0.45">
      <c r="A86" t="s">
        <v>676</v>
      </c>
      <c r="E86">
        <v>50</v>
      </c>
    </row>
    <row r="87" spans="1:14" x14ac:dyDescent="0.45">
      <c r="C87" s="161" t="s">
        <v>519</v>
      </c>
      <c r="D87" s="120"/>
      <c r="E87" s="157">
        <v>35</v>
      </c>
    </row>
    <row r="88" spans="1:14" x14ac:dyDescent="0.45">
      <c r="C88" s="161" t="s">
        <v>59</v>
      </c>
      <c r="E88" s="157">
        <v>35</v>
      </c>
    </row>
    <row r="89" spans="1:14" x14ac:dyDescent="0.45">
      <c r="C89" s="161" t="s">
        <v>102</v>
      </c>
      <c r="E89" s="157">
        <v>67.5</v>
      </c>
    </row>
    <row r="90" spans="1:14" x14ac:dyDescent="0.45">
      <c r="C90" s="161" t="s">
        <v>79</v>
      </c>
      <c r="E90" s="157">
        <v>70</v>
      </c>
    </row>
    <row r="91" spans="1:14" x14ac:dyDescent="0.45">
      <c r="A91" s="9">
        <v>44224</v>
      </c>
      <c r="C91" t="s">
        <v>672</v>
      </c>
    </row>
    <row r="92" spans="1:14" x14ac:dyDescent="0.45">
      <c r="C92" s="161" t="s">
        <v>568</v>
      </c>
      <c r="E92" s="157">
        <v>35</v>
      </c>
    </row>
    <row r="93" spans="1:14" x14ac:dyDescent="0.45">
      <c r="C93" t="s">
        <v>677</v>
      </c>
      <c r="E93" s="157">
        <v>35</v>
      </c>
    </row>
    <row r="94" spans="1:14" x14ac:dyDescent="0.45">
      <c r="C94" t="s">
        <v>104</v>
      </c>
      <c r="E94" s="157">
        <v>67.5</v>
      </c>
    </row>
    <row r="95" spans="1:14" x14ac:dyDescent="0.45">
      <c r="C95" s="161" t="s">
        <v>111</v>
      </c>
      <c r="E95" s="157">
        <v>35</v>
      </c>
    </row>
    <row r="96" spans="1:14" x14ac:dyDescent="0.45">
      <c r="C96" t="s">
        <v>112</v>
      </c>
      <c r="E96" s="157">
        <v>70</v>
      </c>
    </row>
    <row r="97" spans="3:5" x14ac:dyDescent="0.45">
      <c r="C97" t="s">
        <v>42</v>
      </c>
      <c r="E97" s="157">
        <v>70</v>
      </c>
    </row>
    <row r="99" spans="3:5" x14ac:dyDescent="0.45">
      <c r="E99">
        <f>SUM(E82:E97)</f>
        <v>777.5</v>
      </c>
    </row>
  </sheetData>
  <sortState xmlns:xlrd2="http://schemas.microsoft.com/office/spreadsheetml/2017/richdata2" ref="A1:P63">
    <sortCondition ref="D1:D6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78FA9-3478-4963-A213-11F56BA3559B}">
  <dimension ref="A11:A37"/>
  <sheetViews>
    <sheetView topLeftCell="A19" workbookViewId="0">
      <selection activeCell="A33" sqref="A33"/>
    </sheetView>
  </sheetViews>
  <sheetFormatPr defaultColWidth="9.1328125" defaultRowHeight="15" x14ac:dyDescent="0.4"/>
  <cols>
    <col min="1" max="1" width="87.86328125" style="240" customWidth="1"/>
    <col min="2" max="16384" width="9.1328125" style="196"/>
  </cols>
  <sheetData>
    <row r="11" spans="1:1" x14ac:dyDescent="0.4">
      <c r="A11" s="241" t="s">
        <v>1007</v>
      </c>
    </row>
    <row r="12" spans="1:1" x14ac:dyDescent="0.4">
      <c r="A12" s="240" t="s">
        <v>1080</v>
      </c>
    </row>
    <row r="18" spans="1:1" x14ac:dyDescent="0.4">
      <c r="A18" s="196"/>
    </row>
    <row r="19" spans="1:1" x14ac:dyDescent="0.4">
      <c r="A19" s="241"/>
    </row>
    <row r="20" spans="1:1" x14ac:dyDescent="0.4">
      <c r="A20" s="241"/>
    </row>
    <row r="21" spans="1:1" x14ac:dyDescent="0.4">
      <c r="A21" s="241"/>
    </row>
    <row r="22" spans="1:1" x14ac:dyDescent="0.4">
      <c r="A22" s="241" t="s">
        <v>1079</v>
      </c>
    </row>
    <row r="23" spans="1:1" x14ac:dyDescent="0.4">
      <c r="A23" s="241"/>
    </row>
    <row r="24" spans="1:1" x14ac:dyDescent="0.4">
      <c r="A24" s="241" t="s">
        <v>1078</v>
      </c>
    </row>
    <row r="25" spans="1:1" x14ac:dyDescent="0.4">
      <c r="A25" s="241"/>
    </row>
    <row r="26" spans="1:1" x14ac:dyDescent="0.4">
      <c r="A26" s="241" t="s">
        <v>1066</v>
      </c>
    </row>
    <row r="27" spans="1:1" x14ac:dyDescent="0.4">
      <c r="A27" s="241"/>
    </row>
    <row r="28" spans="1:1" x14ac:dyDescent="0.4">
      <c r="A28" s="241"/>
    </row>
    <row r="29" spans="1:1" x14ac:dyDescent="0.4">
      <c r="A29" s="241"/>
    </row>
    <row r="30" spans="1:1" x14ac:dyDescent="0.4">
      <c r="A30" s="196"/>
    </row>
    <row r="37" spans="1:1" x14ac:dyDescent="0.4">
      <c r="A37" s="241" t="s">
        <v>1077</v>
      </c>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7E43-86D3-4ED9-82C0-7AC64D26560D}">
  <sheetPr>
    <pageSetUpPr fitToPage="1"/>
  </sheetPr>
  <dimension ref="A1:F43"/>
  <sheetViews>
    <sheetView topLeftCell="A30" zoomScaleNormal="100" workbookViewId="0">
      <selection activeCell="A30" sqref="A30:F32"/>
    </sheetView>
  </sheetViews>
  <sheetFormatPr defaultColWidth="122.33203125" defaultRowHeight="14.25" x14ac:dyDescent="0.45"/>
  <cols>
    <col min="1" max="1" width="37.1328125" customWidth="1"/>
    <col min="2" max="2" width="25.6640625" customWidth="1"/>
    <col min="3" max="3" width="30.6640625" customWidth="1"/>
    <col min="4" max="4" width="18.33203125" customWidth="1"/>
    <col min="5" max="5" width="16.33203125" customWidth="1"/>
    <col min="6" max="6" width="44.796875" customWidth="1"/>
  </cols>
  <sheetData>
    <row r="1" spans="1:5" x14ac:dyDescent="0.45">
      <c r="A1" s="247" t="s">
        <v>1117</v>
      </c>
      <c r="B1" s="246"/>
      <c r="C1" s="247" t="s">
        <v>1007</v>
      </c>
      <c r="D1" s="247"/>
    </row>
    <row r="2" spans="1:5" x14ac:dyDescent="0.45">
      <c r="A2" s="247" t="s">
        <v>1066</v>
      </c>
      <c r="B2" s="246"/>
      <c r="C2" s="246"/>
      <c r="D2" s="246"/>
    </row>
    <row r="3" spans="1:5" x14ac:dyDescent="0.45">
      <c r="A3" s="246"/>
      <c r="B3" s="246"/>
      <c r="C3" s="246"/>
      <c r="D3" s="246"/>
    </row>
    <row r="4" spans="1:5" ht="28.25" customHeight="1" x14ac:dyDescent="0.45">
      <c r="A4" s="264" t="s">
        <v>1116</v>
      </c>
      <c r="B4" s="264"/>
      <c r="C4" s="264"/>
      <c r="D4" s="264"/>
    </row>
    <row r="5" spans="1:5" ht="14" customHeight="1" x14ac:dyDescent="0.45">
      <c r="A5" s="246"/>
      <c r="B5" s="246"/>
      <c r="C5" s="246"/>
      <c r="D5" s="246"/>
    </row>
    <row r="6" spans="1:5" x14ac:dyDescent="0.45">
      <c r="A6" s="247" t="s">
        <v>1115</v>
      </c>
      <c r="B6" s="246"/>
      <c r="C6" s="246"/>
      <c r="D6" s="246"/>
    </row>
    <row r="7" spans="1:5" x14ac:dyDescent="0.45">
      <c r="A7" s="264" t="s">
        <v>1114</v>
      </c>
      <c r="B7" s="264"/>
      <c r="C7" s="264"/>
      <c r="D7" s="264"/>
    </row>
    <row r="8" spans="1:5" ht="14.45" customHeight="1" x14ac:dyDescent="0.45">
      <c r="A8" s="242"/>
      <c r="B8" s="242"/>
      <c r="C8" s="242"/>
      <c r="D8" s="242"/>
    </row>
    <row r="9" spans="1:5" x14ac:dyDescent="0.45">
      <c r="A9" s="247" t="s">
        <v>1113</v>
      </c>
      <c r="B9" s="248"/>
      <c r="C9" s="248"/>
      <c r="D9" s="248"/>
      <c r="E9" s="245"/>
    </row>
    <row r="10" spans="1:5" ht="14.45" customHeight="1" x14ac:dyDescent="0.45">
      <c r="A10" s="249" t="s">
        <v>1112</v>
      </c>
      <c r="B10" s="249"/>
      <c r="C10" s="249"/>
      <c r="D10" s="249"/>
      <c r="E10" s="245"/>
    </row>
    <row r="11" spans="1:5" x14ac:dyDescent="0.45">
      <c r="A11" s="270" t="s">
        <v>1111</v>
      </c>
      <c r="B11" s="271"/>
      <c r="C11" s="248" t="s">
        <v>1110</v>
      </c>
      <c r="D11" s="248"/>
      <c r="E11" s="245"/>
    </row>
    <row r="12" spans="1:5" ht="17" customHeight="1" x14ac:dyDescent="0.45">
      <c r="A12" s="246"/>
      <c r="B12" s="246"/>
      <c r="C12" s="246"/>
      <c r="D12" s="246"/>
      <c r="E12" s="245"/>
    </row>
    <row r="13" spans="1:5" x14ac:dyDescent="0.45">
      <c r="A13" s="246" t="s">
        <v>1109</v>
      </c>
      <c r="B13" s="246"/>
      <c r="C13" s="246"/>
      <c r="D13" s="246"/>
      <c r="E13" s="245"/>
    </row>
    <row r="14" spans="1:5" x14ac:dyDescent="0.45">
      <c r="A14" s="246" t="s">
        <v>1108</v>
      </c>
      <c r="B14" s="246"/>
      <c r="C14" s="246"/>
      <c r="D14" s="246"/>
      <c r="E14" s="245"/>
    </row>
    <row r="15" spans="1:5" x14ac:dyDescent="0.45">
      <c r="A15" s="246" t="s">
        <v>1107</v>
      </c>
      <c r="B15" s="246"/>
      <c r="C15" s="246"/>
      <c r="D15" s="246"/>
      <c r="E15" s="245"/>
    </row>
    <row r="16" spans="1:5" x14ac:dyDescent="0.45">
      <c r="A16" s="246" t="s">
        <v>1106</v>
      </c>
      <c r="B16" s="246"/>
      <c r="C16" s="246"/>
      <c r="D16" s="246"/>
      <c r="E16" s="245"/>
    </row>
    <row r="17" spans="1:6" x14ac:dyDescent="0.45">
      <c r="A17" s="246"/>
      <c r="B17" s="246"/>
      <c r="C17" s="246"/>
      <c r="D17" s="245"/>
      <c r="E17" s="245"/>
    </row>
    <row r="18" spans="1:6" x14ac:dyDescent="0.45">
      <c r="A18" s="247" t="s">
        <v>1105</v>
      </c>
      <c r="B18" s="246"/>
      <c r="C18" s="246"/>
      <c r="D18" s="245"/>
      <c r="E18" s="245"/>
    </row>
    <row r="19" spans="1:6" x14ac:dyDescent="0.45">
      <c r="A19" s="246" t="s">
        <v>1104</v>
      </c>
      <c r="B19" s="246" t="s">
        <v>1082</v>
      </c>
      <c r="C19" s="246" t="s">
        <v>1103</v>
      </c>
      <c r="D19" s="245"/>
      <c r="E19" s="245"/>
    </row>
    <row r="20" spans="1:6" x14ac:dyDescent="0.45">
      <c r="A20" s="246" t="s">
        <v>1102</v>
      </c>
      <c r="B20" s="246" t="s">
        <v>1101</v>
      </c>
      <c r="C20" s="246" t="s">
        <v>1100</v>
      </c>
      <c r="D20" s="245"/>
      <c r="E20" s="245"/>
    </row>
    <row r="21" spans="1:6" x14ac:dyDescent="0.45">
      <c r="A21" s="246" t="s">
        <v>1099</v>
      </c>
      <c r="B21" s="246" t="s">
        <v>1098</v>
      </c>
      <c r="C21" s="246" t="s">
        <v>1097</v>
      </c>
      <c r="D21" s="245"/>
      <c r="E21" s="245"/>
    </row>
    <row r="22" spans="1:6" x14ac:dyDescent="0.45">
      <c r="A22" s="246" t="s">
        <v>1096</v>
      </c>
      <c r="B22" s="246" t="s">
        <v>1095</v>
      </c>
      <c r="C22" s="246" t="s">
        <v>1094</v>
      </c>
      <c r="D22" s="245"/>
      <c r="E22" s="245"/>
    </row>
    <row r="23" spans="1:6" x14ac:dyDescent="0.45">
      <c r="A23" s="246" t="s">
        <v>1119</v>
      </c>
      <c r="B23" s="246" t="s">
        <v>1120</v>
      </c>
      <c r="C23" s="246" t="s">
        <v>1121</v>
      </c>
      <c r="D23" s="245"/>
      <c r="E23" s="245"/>
    </row>
    <row r="24" spans="1:6" x14ac:dyDescent="0.45">
      <c r="A24" s="246" t="s">
        <v>1093</v>
      </c>
      <c r="B24" s="246" t="s">
        <v>1120</v>
      </c>
      <c r="C24" s="246" t="s">
        <v>1092</v>
      </c>
      <c r="D24" s="245"/>
      <c r="E24" s="246"/>
    </row>
    <row r="25" spans="1:6" x14ac:dyDescent="0.45">
      <c r="C25" s="242"/>
      <c r="D25" s="242"/>
    </row>
    <row r="26" spans="1:6" x14ac:dyDescent="0.45">
      <c r="A26" s="265" t="s">
        <v>1091</v>
      </c>
      <c r="B26" s="265"/>
      <c r="C26" s="265"/>
      <c r="D26" s="265"/>
    </row>
    <row r="27" spans="1:6" x14ac:dyDescent="0.45">
      <c r="C27" s="242"/>
      <c r="D27" s="242"/>
    </row>
    <row r="28" spans="1:6" ht="37.25" customHeight="1" x14ac:dyDescent="0.45">
      <c r="A28" s="243" t="s">
        <v>1090</v>
      </c>
      <c r="B28" s="242"/>
      <c r="C28" s="242"/>
      <c r="D28" s="242"/>
    </row>
    <row r="29" spans="1:6" ht="10.25" customHeight="1" x14ac:dyDescent="0.45">
      <c r="A29" s="243"/>
      <c r="B29" s="242"/>
      <c r="C29" s="242"/>
      <c r="D29" s="242"/>
    </row>
    <row r="30" spans="1:6" ht="14.45" customHeight="1" x14ac:dyDescent="0.45">
      <c r="A30" s="263" t="s">
        <v>1118</v>
      </c>
      <c r="B30" s="263"/>
      <c r="C30" s="263"/>
      <c r="D30" s="263"/>
      <c r="E30" s="263"/>
      <c r="F30" s="263"/>
    </row>
    <row r="31" spans="1:6" ht="409.25" customHeight="1" x14ac:dyDescent="0.45">
      <c r="A31" s="263"/>
      <c r="B31" s="263"/>
      <c r="C31" s="263"/>
      <c r="D31" s="263"/>
      <c r="E31" s="263"/>
      <c r="F31" s="263"/>
    </row>
    <row r="32" spans="1:6" ht="192" customHeight="1" x14ac:dyDescent="0.45">
      <c r="A32" s="263"/>
      <c r="B32" s="263"/>
      <c r="C32" s="263"/>
      <c r="D32" s="263"/>
      <c r="E32" s="263"/>
      <c r="F32" s="263"/>
    </row>
    <row r="33" spans="1:6" ht="20" customHeight="1" x14ac:dyDescent="0.45">
      <c r="A33" s="244" t="s">
        <v>1089</v>
      </c>
      <c r="B33" s="242"/>
      <c r="C33" s="242"/>
      <c r="D33" s="242"/>
    </row>
    <row r="34" spans="1:6" ht="48.6" customHeight="1" x14ac:dyDescent="0.45">
      <c r="A34" s="267" t="s">
        <v>1088</v>
      </c>
      <c r="B34" s="267"/>
      <c r="C34" s="267"/>
      <c r="D34" s="267"/>
    </row>
    <row r="35" spans="1:6" ht="20" customHeight="1" x14ac:dyDescent="0.45">
      <c r="A35" s="242"/>
      <c r="B35" s="242"/>
      <c r="C35" s="242"/>
      <c r="D35" s="242"/>
      <c r="F35" t="s">
        <v>1087</v>
      </c>
    </row>
    <row r="36" spans="1:6" ht="18" customHeight="1" x14ac:dyDescent="0.45">
      <c r="A36" s="244" t="s">
        <v>1086</v>
      </c>
      <c r="B36" s="242"/>
      <c r="C36" s="242"/>
      <c r="D36" s="242"/>
    </row>
    <row r="37" spans="1:6" ht="67.25" customHeight="1" x14ac:dyDescent="0.45">
      <c r="A37" s="268" t="s">
        <v>1085</v>
      </c>
      <c r="B37" s="269"/>
      <c r="C37" s="269"/>
      <c r="D37" s="269"/>
    </row>
    <row r="38" spans="1:6" ht="19.25" customHeight="1" x14ac:dyDescent="0.45">
      <c r="A38" s="265"/>
      <c r="B38" s="265"/>
      <c r="C38" s="265"/>
      <c r="D38" s="265"/>
    </row>
    <row r="39" spans="1:6" x14ac:dyDescent="0.45">
      <c r="A39" s="265" t="s">
        <v>1084</v>
      </c>
      <c r="B39" s="265"/>
      <c r="C39" s="265"/>
      <c r="D39" s="265"/>
    </row>
    <row r="40" spans="1:6" ht="48.6" customHeight="1" x14ac:dyDescent="0.45">
      <c r="A40" s="242"/>
      <c r="B40" s="242"/>
      <c r="C40" s="242"/>
      <c r="D40" s="242"/>
    </row>
    <row r="41" spans="1:6" x14ac:dyDescent="0.45">
      <c r="A41" s="243" t="s">
        <v>1083</v>
      </c>
      <c r="B41" s="242"/>
      <c r="C41" s="242"/>
      <c r="D41" s="242"/>
    </row>
    <row r="42" spans="1:6" x14ac:dyDescent="0.45">
      <c r="A42" s="243" t="s">
        <v>1082</v>
      </c>
      <c r="B42" s="242"/>
      <c r="C42" s="242"/>
      <c r="D42" s="242"/>
    </row>
    <row r="43" spans="1:6" x14ac:dyDescent="0.45">
      <c r="A43" s="266" t="s">
        <v>1081</v>
      </c>
      <c r="B43" s="266"/>
      <c r="C43" s="266"/>
      <c r="D43" s="266"/>
    </row>
  </sheetData>
  <mergeCells count="10">
    <mergeCell ref="A30:F32"/>
    <mergeCell ref="A4:D4"/>
    <mergeCell ref="A7:D7"/>
    <mergeCell ref="A26:D26"/>
    <mergeCell ref="A43:D43"/>
    <mergeCell ref="A34:D34"/>
    <mergeCell ref="A39:D39"/>
    <mergeCell ref="A37:D37"/>
    <mergeCell ref="A38:D38"/>
    <mergeCell ref="A11:B11"/>
  </mergeCell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0"/>
  <sheetViews>
    <sheetView workbookViewId="0"/>
  </sheetViews>
  <sheetFormatPr defaultColWidth="9.1328125" defaultRowHeight="12.75" x14ac:dyDescent="0.35"/>
  <cols>
    <col min="1" max="2" width="3" style="11" customWidth="1"/>
    <col min="3" max="3" width="54.86328125" style="11" customWidth="1"/>
    <col min="4" max="5" width="9.1328125" style="11"/>
    <col min="6" max="6" width="5" style="11" customWidth="1"/>
    <col min="7" max="16384" width="9.1328125" style="11"/>
  </cols>
  <sheetData>
    <row r="1" spans="1:6" ht="13.15" x14ac:dyDescent="0.4">
      <c r="A1" s="1" t="s">
        <v>1007</v>
      </c>
      <c r="B1" s="1"/>
    </row>
    <row r="2" spans="1:6" ht="13.15" x14ac:dyDescent="0.4">
      <c r="A2" s="1" t="s">
        <v>1008</v>
      </c>
      <c r="B2" s="1"/>
      <c r="D2" s="1"/>
    </row>
    <row r="3" spans="1:6" ht="13.15" x14ac:dyDescent="0.4">
      <c r="A3" s="1" t="s">
        <v>1066</v>
      </c>
    </row>
    <row r="5" spans="1:6" ht="12.75" customHeight="1" x14ac:dyDescent="0.35">
      <c r="A5" s="272" t="s">
        <v>1010</v>
      </c>
      <c r="B5" s="272"/>
      <c r="C5" s="273"/>
      <c r="D5" s="273"/>
      <c r="E5" s="273"/>
      <c r="F5" s="273"/>
    </row>
    <row r="6" spans="1:6" ht="41.25" customHeight="1" x14ac:dyDescent="0.35">
      <c r="A6" s="274" t="s">
        <v>1067</v>
      </c>
      <c r="B6" s="274"/>
      <c r="C6" s="274"/>
      <c r="D6" s="274"/>
      <c r="E6" s="274"/>
      <c r="F6" s="274"/>
    </row>
    <row r="7" spans="1:6" ht="12.75" customHeight="1" x14ac:dyDescent="0.35">
      <c r="A7" s="272" t="s">
        <v>1011</v>
      </c>
      <c r="B7" s="272"/>
      <c r="C7" s="273"/>
      <c r="D7" s="273"/>
      <c r="E7" s="273"/>
      <c r="F7" s="273"/>
    </row>
    <row r="8" spans="1:6" ht="91.5" customHeight="1" x14ac:dyDescent="0.35">
      <c r="A8" s="274" t="s">
        <v>1012</v>
      </c>
      <c r="B8" s="274"/>
      <c r="C8" s="274"/>
      <c r="D8" s="273"/>
      <c r="E8" s="273"/>
      <c r="F8" s="273"/>
    </row>
    <row r="9" spans="1:6" ht="12.75" customHeight="1" x14ac:dyDescent="0.35">
      <c r="A9" s="272" t="s">
        <v>1013</v>
      </c>
      <c r="B9" s="272"/>
      <c r="C9" s="273"/>
      <c r="D9" s="273"/>
      <c r="E9" s="273"/>
      <c r="F9" s="273"/>
    </row>
    <row r="10" spans="1:6" ht="93" customHeight="1" x14ac:dyDescent="0.45">
      <c r="A10" s="274" t="s">
        <v>1014</v>
      </c>
      <c r="B10" s="274"/>
      <c r="C10" s="275"/>
      <c r="D10" s="275"/>
      <c r="E10" s="275"/>
      <c r="F10" s="275"/>
    </row>
    <row r="11" spans="1:6" ht="12.75" customHeight="1" x14ac:dyDescent="0.35">
      <c r="A11" s="272" t="s">
        <v>1015</v>
      </c>
      <c r="B11" s="272"/>
      <c r="C11" s="273"/>
      <c r="D11" s="273"/>
      <c r="E11" s="273"/>
      <c r="F11" s="273"/>
    </row>
    <row r="12" spans="1:6" ht="12.75" customHeight="1" x14ac:dyDescent="0.35">
      <c r="A12" s="274" t="s">
        <v>1016</v>
      </c>
      <c r="B12" s="274"/>
      <c r="C12" s="273"/>
      <c r="D12" s="273"/>
      <c r="E12" s="273"/>
      <c r="F12" s="273"/>
    </row>
    <row r="13" spans="1:6" ht="12.75" customHeight="1" x14ac:dyDescent="0.35">
      <c r="A13" s="178" t="s">
        <v>1017</v>
      </c>
      <c r="B13" s="274" t="s">
        <v>1018</v>
      </c>
      <c r="C13" s="273"/>
      <c r="D13" s="273"/>
      <c r="E13" s="273"/>
      <c r="F13" s="273"/>
    </row>
    <row r="14" spans="1:6" ht="25.5" customHeight="1" x14ac:dyDescent="0.35">
      <c r="A14" s="274" t="s">
        <v>1019</v>
      </c>
      <c r="B14" s="274"/>
      <c r="C14" s="274"/>
      <c r="D14" s="274"/>
      <c r="E14" s="274"/>
      <c r="F14" s="274"/>
    </row>
    <row r="15" spans="1:6" ht="26.25" customHeight="1" x14ac:dyDescent="0.35">
      <c r="A15" s="274" t="s">
        <v>1020</v>
      </c>
      <c r="B15" s="274"/>
      <c r="C15" s="274"/>
      <c r="D15" s="274"/>
      <c r="E15" s="274"/>
      <c r="F15" s="274"/>
    </row>
    <row r="16" spans="1:6" x14ac:dyDescent="0.35">
      <c r="A16" s="274"/>
      <c r="B16" s="274"/>
      <c r="C16" s="274"/>
      <c r="D16" s="274"/>
      <c r="E16" s="274"/>
      <c r="F16" s="274"/>
    </row>
    <row r="17" spans="1:6" ht="14.25" x14ac:dyDescent="0.45">
      <c r="A17" s="179"/>
      <c r="B17" s="179"/>
      <c r="C17"/>
      <c r="D17" s="179"/>
      <c r="E17" s="179"/>
      <c r="F17" s="179"/>
    </row>
    <row r="18" spans="1:6" x14ac:dyDescent="0.35">
      <c r="A18" s="179"/>
      <c r="B18" s="179"/>
      <c r="C18" s="179"/>
      <c r="D18" s="179"/>
      <c r="E18" s="179"/>
      <c r="F18" s="179"/>
    </row>
    <row r="19" spans="1:6" x14ac:dyDescent="0.35">
      <c r="A19" s="274"/>
      <c r="B19" s="274"/>
      <c r="C19" s="274"/>
      <c r="D19" s="274"/>
      <c r="E19" s="274"/>
      <c r="F19" s="274"/>
    </row>
    <row r="20" spans="1:6" customFormat="1" ht="14.25" x14ac:dyDescent="0.45">
      <c r="A20" s="273"/>
      <c r="B20" s="273"/>
      <c r="C20" s="273"/>
      <c r="D20" s="273"/>
      <c r="E20" s="273"/>
      <c r="F20" s="273"/>
    </row>
    <row r="21" spans="1:6" customFormat="1" ht="14.25" x14ac:dyDescent="0.45">
      <c r="A21" s="277" t="s">
        <v>1021</v>
      </c>
      <c r="B21" s="277"/>
      <c r="C21" s="277"/>
      <c r="D21" s="277"/>
      <c r="E21" s="277"/>
      <c r="F21" s="277"/>
    </row>
    <row r="22" spans="1:6" customFormat="1" ht="14.25" x14ac:dyDescent="0.45">
      <c r="A22" s="277" t="s">
        <v>1022</v>
      </c>
      <c r="B22" s="272"/>
      <c r="C22" s="272"/>
      <c r="D22" s="272"/>
      <c r="E22" s="272"/>
      <c r="F22" s="272"/>
    </row>
    <row r="23" spans="1:6" customFormat="1" ht="14.25" x14ac:dyDescent="0.45">
      <c r="A23" s="276" t="s">
        <v>1023</v>
      </c>
      <c r="B23" s="276"/>
      <c r="C23" s="277"/>
      <c r="D23" s="277"/>
      <c r="E23" s="277"/>
      <c r="F23" s="277"/>
    </row>
    <row r="24" spans="1:6" customFormat="1" ht="14.25" x14ac:dyDescent="0.45">
      <c r="A24" s="276" t="s">
        <v>1024</v>
      </c>
      <c r="B24" s="276"/>
      <c r="C24" s="277"/>
      <c r="D24" s="277"/>
      <c r="E24" s="277"/>
      <c r="F24" s="277"/>
    </row>
    <row r="25" spans="1:6" customFormat="1" ht="14.25" x14ac:dyDescent="0.45">
      <c r="A25" s="278" t="s">
        <v>1076</v>
      </c>
      <c r="B25" s="279"/>
      <c r="C25" s="279"/>
      <c r="D25" s="279"/>
      <c r="E25" s="279"/>
      <c r="F25" s="279"/>
    </row>
    <row r="26" spans="1:6" customFormat="1" ht="25.5" customHeight="1" x14ac:dyDescent="0.45"/>
    <row r="27" spans="1:6" customFormat="1" ht="14.25" x14ac:dyDescent="0.45">
      <c r="C27" s="180" t="s">
        <v>1025</v>
      </c>
    </row>
    <row r="28" spans="1:6" customFormat="1" ht="14.25" x14ac:dyDescent="0.45"/>
    <row r="29" spans="1:6" customFormat="1" ht="14.25" x14ac:dyDescent="0.45"/>
    <row r="30" spans="1:6" customFormat="1" ht="14.25" x14ac:dyDescent="0.45"/>
    <row r="40" spans="1:6" ht="13.15" x14ac:dyDescent="0.4">
      <c r="A40" s="280"/>
      <c r="B40" s="280"/>
      <c r="C40" s="280"/>
      <c r="D40" s="280"/>
      <c r="E40" s="280"/>
      <c r="F40" s="280"/>
    </row>
  </sheetData>
  <mergeCells count="20">
    <mergeCell ref="A15:F15"/>
    <mergeCell ref="A23:F23"/>
    <mergeCell ref="A24:F24"/>
    <mergeCell ref="A25:F25"/>
    <mergeCell ref="A40:F40"/>
    <mergeCell ref="A16:F16"/>
    <mergeCell ref="A19:F19"/>
    <mergeCell ref="A20:F20"/>
    <mergeCell ref="A21:F21"/>
    <mergeCell ref="A22:F22"/>
    <mergeCell ref="A10:F10"/>
    <mergeCell ref="A11:F11"/>
    <mergeCell ref="A12:F12"/>
    <mergeCell ref="B13:F13"/>
    <mergeCell ref="A14:F14"/>
    <mergeCell ref="A5:F5"/>
    <mergeCell ref="A6:F6"/>
    <mergeCell ref="A7:F7"/>
    <mergeCell ref="A8:F8"/>
    <mergeCell ref="A9:F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1"/>
  <sheetViews>
    <sheetView topLeftCell="A11" workbookViewId="0">
      <selection activeCell="B35" sqref="B35"/>
    </sheetView>
  </sheetViews>
  <sheetFormatPr defaultRowHeight="14.25" x14ac:dyDescent="0.45"/>
  <cols>
    <col min="1" max="1" width="39.33203125" customWidth="1"/>
    <col min="2" max="2" width="9" customWidth="1"/>
    <col min="3" max="3" width="8.86328125" bestFit="1" customWidth="1"/>
    <col min="4" max="4" width="11.86328125" bestFit="1" customWidth="1"/>
    <col min="5" max="5" width="10" bestFit="1" customWidth="1"/>
    <col min="6" max="6" width="10.46484375" style="14" bestFit="1" customWidth="1"/>
    <col min="7" max="7" width="10.46484375" customWidth="1"/>
    <col min="9" max="9" width="9.6640625" bestFit="1" customWidth="1"/>
    <col min="10" max="10" width="9.1328125" bestFit="1" customWidth="1"/>
  </cols>
  <sheetData>
    <row r="1" spans="1:11" x14ac:dyDescent="0.45">
      <c r="A1" s="181" t="s">
        <v>1007</v>
      </c>
      <c r="B1" s="182"/>
      <c r="C1" s="182"/>
      <c r="D1" s="182"/>
      <c r="E1" s="182"/>
      <c r="F1" s="204"/>
      <c r="G1" s="182"/>
    </row>
    <row r="2" spans="1:11" x14ac:dyDescent="0.45">
      <c r="A2" s="181" t="s">
        <v>1026</v>
      </c>
      <c r="B2" s="182"/>
      <c r="C2" s="182"/>
      <c r="D2" s="182"/>
      <c r="E2" s="182"/>
      <c r="F2" s="193"/>
      <c r="G2" s="182"/>
    </row>
    <row r="3" spans="1:11" x14ac:dyDescent="0.45">
      <c r="A3" s="181" t="s">
        <v>1009</v>
      </c>
      <c r="B3" s="182"/>
      <c r="C3" s="182"/>
      <c r="D3" s="205" t="s">
        <v>1027</v>
      </c>
      <c r="E3" s="205" t="s">
        <v>1028</v>
      </c>
      <c r="F3" s="204"/>
      <c r="G3" s="182"/>
    </row>
    <row r="4" spans="1:11" x14ac:dyDescent="0.45">
      <c r="A4" s="181"/>
      <c r="B4" s="182"/>
      <c r="C4" s="182"/>
      <c r="D4" s="205" t="s">
        <v>1029</v>
      </c>
      <c r="E4" s="205" t="s">
        <v>1029</v>
      </c>
      <c r="F4" s="193" t="s">
        <v>0</v>
      </c>
      <c r="G4" s="193" t="s">
        <v>0</v>
      </c>
    </row>
    <row r="5" spans="1:11" x14ac:dyDescent="0.45">
      <c r="A5" s="183"/>
      <c r="B5" s="184" t="s">
        <v>1030</v>
      </c>
      <c r="C5" s="183"/>
      <c r="D5" s="183">
        <v>2025</v>
      </c>
      <c r="E5" s="183">
        <v>2025</v>
      </c>
      <c r="F5" s="206">
        <v>2025</v>
      </c>
      <c r="G5" s="206">
        <v>2024</v>
      </c>
    </row>
    <row r="6" spans="1:11" ht="15.4" x14ac:dyDescent="0.45">
      <c r="A6" s="182"/>
      <c r="B6" s="182"/>
      <c r="C6" s="182"/>
      <c r="D6" s="205" t="s">
        <v>1031</v>
      </c>
      <c r="E6" s="205" t="s">
        <v>1031</v>
      </c>
      <c r="F6" s="193" t="s">
        <v>1031</v>
      </c>
      <c r="G6" s="193" t="s">
        <v>1031</v>
      </c>
      <c r="K6" s="185"/>
    </row>
    <row r="7" spans="1:11" x14ac:dyDescent="0.45">
      <c r="A7" s="181" t="s">
        <v>1032</v>
      </c>
      <c r="B7" s="182"/>
      <c r="C7" s="182"/>
      <c r="D7" s="182"/>
      <c r="E7" s="182"/>
      <c r="F7" s="193"/>
      <c r="G7" s="193"/>
    </row>
    <row r="8" spans="1:11" ht="9" customHeight="1" x14ac:dyDescent="0.45">
      <c r="A8" s="181"/>
      <c r="B8" s="182"/>
      <c r="C8" s="182"/>
      <c r="D8" s="182"/>
      <c r="E8" s="182"/>
      <c r="F8" s="193"/>
      <c r="G8" s="193"/>
    </row>
    <row r="9" spans="1:11" x14ac:dyDescent="0.45">
      <c r="A9" s="186" t="s">
        <v>1033</v>
      </c>
      <c r="B9" s="182"/>
      <c r="C9" s="182"/>
      <c r="D9" s="182"/>
      <c r="E9" s="182"/>
      <c r="F9" s="193"/>
      <c r="G9" s="193"/>
    </row>
    <row r="10" spans="1:11" x14ac:dyDescent="0.45">
      <c r="A10" s="187" t="s">
        <v>1034</v>
      </c>
      <c r="B10" s="188"/>
      <c r="C10" s="182"/>
      <c r="D10" s="207">
        <f>SUM('2024-2025'!BZ303:CA303)</f>
        <v>20671.809999999998</v>
      </c>
      <c r="E10" s="188"/>
      <c r="F10" s="193">
        <f>SUM(D10:E10)</f>
        <v>20671.809999999998</v>
      </c>
      <c r="G10" s="193">
        <f>8271+4633</f>
        <v>12904</v>
      </c>
    </row>
    <row r="11" spans="1:11" x14ac:dyDescent="0.45">
      <c r="A11" s="187" t="s">
        <v>1035</v>
      </c>
      <c r="B11" s="182"/>
      <c r="C11" s="182"/>
      <c r="D11" s="208"/>
      <c r="E11" s="188"/>
      <c r="F11" s="193"/>
      <c r="G11" s="193">
        <v>3761.23</v>
      </c>
    </row>
    <row r="12" spans="1:11" x14ac:dyDescent="0.45">
      <c r="A12" s="187" t="s">
        <v>136</v>
      </c>
      <c r="B12" s="182"/>
      <c r="C12" s="182"/>
      <c r="D12" s="207">
        <f>SUM('2024-2025'!BY303)</f>
        <v>3111.2099999999996</v>
      </c>
      <c r="E12" s="207"/>
      <c r="F12" s="193">
        <f>SUM(D12:E12)</f>
        <v>3111.2099999999996</v>
      </c>
      <c r="G12" s="193">
        <v>2010</v>
      </c>
    </row>
    <row r="13" spans="1:11" x14ac:dyDescent="0.45">
      <c r="A13" s="187" t="s">
        <v>1036</v>
      </c>
      <c r="B13" s="182"/>
      <c r="C13" s="182"/>
      <c r="D13" s="207"/>
      <c r="E13" s="207"/>
      <c r="F13" s="193"/>
      <c r="G13" s="193">
        <v>1372</v>
      </c>
    </row>
    <row r="14" spans="1:11" x14ac:dyDescent="0.45">
      <c r="A14" s="190" t="s">
        <v>1068</v>
      </c>
      <c r="B14" s="188"/>
      <c r="C14" s="182"/>
      <c r="D14" s="207">
        <f>SUM('2024-2025'!CG303)</f>
        <v>1321.9499999999998</v>
      </c>
      <c r="E14" s="209"/>
      <c r="F14" s="193">
        <f t="shared" ref="F14:F15" si="0">SUM(D14:E14)</f>
        <v>1321.9499999999998</v>
      </c>
      <c r="G14" s="193">
        <v>824.47</v>
      </c>
    </row>
    <row r="15" spans="1:11" x14ac:dyDescent="0.45">
      <c r="A15" s="190" t="s">
        <v>1069</v>
      </c>
      <c r="B15" s="188"/>
      <c r="C15" s="182"/>
      <c r="D15" s="207">
        <f>SUM('2024-2025'!CB303:CC303)</f>
        <v>327.08</v>
      </c>
      <c r="E15" s="209"/>
      <c r="F15" s="193">
        <f t="shared" si="0"/>
        <v>327.08</v>
      </c>
      <c r="G15" s="193"/>
    </row>
    <row r="16" spans="1:11" x14ac:dyDescent="0.45">
      <c r="A16" s="186" t="s">
        <v>1037</v>
      </c>
      <c r="B16" s="182"/>
      <c r="C16" s="182"/>
      <c r="D16" s="182"/>
      <c r="E16" s="182"/>
      <c r="F16" s="193"/>
      <c r="G16" s="193"/>
    </row>
    <row r="17" spans="1:14" x14ac:dyDescent="0.45">
      <c r="A17" s="187" t="s">
        <v>137</v>
      </c>
      <c r="B17" s="188"/>
      <c r="C17" s="182"/>
      <c r="D17" s="210"/>
      <c r="E17" s="207">
        <v>1050</v>
      </c>
      <c r="F17" s="193">
        <f>SUM(D17:E17)</f>
        <v>1050</v>
      </c>
      <c r="G17" s="193">
        <v>1000</v>
      </c>
      <c r="H17" s="182"/>
      <c r="I17" s="182"/>
      <c r="J17" s="182"/>
      <c r="K17" s="182"/>
    </row>
    <row r="18" spans="1:14" x14ac:dyDescent="0.45">
      <c r="A18" s="182"/>
      <c r="B18" s="188"/>
      <c r="C18" s="182"/>
      <c r="D18" s="182"/>
      <c r="E18" s="182"/>
      <c r="F18" s="193"/>
      <c r="G18" s="193"/>
      <c r="H18" s="182"/>
      <c r="I18" s="182"/>
      <c r="J18" s="182"/>
      <c r="K18" s="182"/>
    </row>
    <row r="19" spans="1:14" x14ac:dyDescent="0.45">
      <c r="A19" s="181" t="s">
        <v>1038</v>
      </c>
      <c r="B19" s="188"/>
      <c r="C19" s="182"/>
      <c r="D19" s="211">
        <f>SUM(D10:D18)</f>
        <v>25432.05</v>
      </c>
      <c r="E19" s="211">
        <f>SUM(E10:E17)</f>
        <v>1050</v>
      </c>
      <c r="F19" s="212">
        <f>SUM(F10:F17)</f>
        <v>26482.05</v>
      </c>
      <c r="G19" s="212">
        <f>SUM(G10:G17)</f>
        <v>21871.7</v>
      </c>
      <c r="H19" s="189"/>
      <c r="I19" s="182"/>
      <c r="J19" s="182"/>
      <c r="K19" s="182"/>
    </row>
    <row r="20" spans="1:14" x14ac:dyDescent="0.45">
      <c r="A20" s="182"/>
      <c r="B20" s="188"/>
      <c r="C20" s="182"/>
      <c r="D20" s="189"/>
      <c r="E20" s="182"/>
      <c r="F20" s="193"/>
      <c r="G20" s="193"/>
      <c r="H20" s="182"/>
      <c r="I20" s="182"/>
      <c r="J20" s="182"/>
      <c r="K20" s="182"/>
    </row>
    <row r="21" spans="1:14" x14ac:dyDescent="0.45">
      <c r="A21" s="181" t="s">
        <v>1039</v>
      </c>
      <c r="B21" s="188"/>
      <c r="C21" s="181"/>
      <c r="D21" s="181"/>
      <c r="E21" s="181"/>
      <c r="F21" s="213"/>
      <c r="G21" s="213"/>
      <c r="H21" s="182"/>
      <c r="I21" s="182"/>
      <c r="J21" s="182"/>
      <c r="K21" s="182"/>
    </row>
    <row r="22" spans="1:14" x14ac:dyDescent="0.45">
      <c r="A22" s="182"/>
      <c r="B22" s="188"/>
      <c r="C22" s="182"/>
      <c r="D22" s="182"/>
      <c r="E22" s="182"/>
      <c r="F22" s="193"/>
      <c r="G22" s="193"/>
      <c r="H22" s="182"/>
      <c r="I22" s="182"/>
      <c r="J22" s="182"/>
      <c r="K22" s="182"/>
    </row>
    <row r="23" spans="1:14" x14ac:dyDescent="0.45">
      <c r="A23" s="182" t="s">
        <v>1075</v>
      </c>
      <c r="B23" s="188"/>
      <c r="C23" s="182"/>
      <c r="D23" s="207">
        <f>'2024-2025'!CM13</f>
        <v>5828</v>
      </c>
      <c r="E23" s="182"/>
      <c r="F23" s="193">
        <f t="shared" ref="F23:F26" si="1">SUM(D23:E23)</f>
        <v>5828</v>
      </c>
      <c r="G23" s="193">
        <v>4633</v>
      </c>
      <c r="H23" s="182"/>
      <c r="I23" s="182"/>
      <c r="J23" s="182"/>
      <c r="K23" s="182"/>
    </row>
    <row r="24" spans="1:14" x14ac:dyDescent="0.45">
      <c r="A24" s="182" t="s">
        <v>1037</v>
      </c>
      <c r="B24" s="188"/>
      <c r="C24" s="182"/>
      <c r="D24" s="207"/>
      <c r="E24" s="181"/>
      <c r="F24" s="193"/>
      <c r="G24" s="193"/>
      <c r="H24" s="182"/>
      <c r="I24" s="182"/>
      <c r="J24" s="182"/>
      <c r="K24" s="182"/>
    </row>
    <row r="25" spans="1:14" x14ac:dyDescent="0.45">
      <c r="A25" s="187" t="s">
        <v>1040</v>
      </c>
      <c r="B25" s="188"/>
      <c r="C25" s="182"/>
      <c r="D25" s="207">
        <f>SUM('2024-2025'!CQ303:CW303)</f>
        <v>562.62</v>
      </c>
      <c r="E25" s="214"/>
      <c r="F25" s="193">
        <f t="shared" si="1"/>
        <v>562.62</v>
      </c>
      <c r="G25" s="193">
        <v>418.4</v>
      </c>
      <c r="H25" s="182"/>
      <c r="I25" s="182"/>
      <c r="J25" s="182"/>
      <c r="K25" s="191"/>
    </row>
    <row r="26" spans="1:14" x14ac:dyDescent="0.45">
      <c r="A26" s="187" t="s">
        <v>1041</v>
      </c>
      <c r="B26" s="188"/>
      <c r="C26" s="182"/>
      <c r="D26" s="207">
        <f>SUM('2024-2025'!CP303)-E26</f>
        <v>3660.8599999999992</v>
      </c>
      <c r="E26" s="193">
        <f>100+725+1031.31+500</f>
        <v>2356.31</v>
      </c>
      <c r="F26" s="193">
        <f t="shared" si="1"/>
        <v>6017.1699999999992</v>
      </c>
      <c r="G26" s="193">
        <v>2123.2999999999997</v>
      </c>
      <c r="H26" s="182"/>
      <c r="I26" s="182"/>
      <c r="J26" s="182"/>
      <c r="K26" s="191"/>
    </row>
    <row r="27" spans="1:14" x14ac:dyDescent="0.45">
      <c r="A27" s="187" t="s">
        <v>1036</v>
      </c>
      <c r="B27" s="188"/>
      <c r="C27" s="182"/>
      <c r="D27" s="207"/>
      <c r="E27" s="193"/>
      <c r="F27" s="193"/>
      <c r="G27" s="193">
        <v>1324.4</v>
      </c>
      <c r="H27" s="182"/>
      <c r="I27" s="182"/>
      <c r="J27" s="182"/>
      <c r="K27" s="191"/>
    </row>
    <row r="28" spans="1:14" x14ac:dyDescent="0.45">
      <c r="A28" s="187" t="s">
        <v>171</v>
      </c>
      <c r="B28" s="188"/>
      <c r="C28" s="182"/>
      <c r="D28" s="207">
        <f>SUM('2024-2025'!CX303)</f>
        <v>493.15</v>
      </c>
      <c r="E28" s="214"/>
      <c r="F28" s="193">
        <f t="shared" ref="F28:F33" si="2">SUM(D28:E28)</f>
        <v>493.15</v>
      </c>
      <c r="G28" s="193">
        <v>649.64</v>
      </c>
      <c r="H28" s="182"/>
      <c r="I28" s="182"/>
      <c r="J28" s="182"/>
      <c r="K28" s="191"/>
    </row>
    <row r="29" spans="1:14" x14ac:dyDescent="0.45">
      <c r="A29" s="187" t="s">
        <v>174</v>
      </c>
      <c r="B29" s="188"/>
      <c r="C29" s="182"/>
      <c r="D29" s="207">
        <f>SUM('2024-2025'!DA303)</f>
        <v>160</v>
      </c>
      <c r="E29" s="214"/>
      <c r="F29" s="193">
        <f t="shared" si="2"/>
        <v>160</v>
      </c>
      <c r="G29" s="193">
        <v>240</v>
      </c>
      <c r="H29" s="182"/>
      <c r="I29" s="182"/>
      <c r="J29" s="182"/>
      <c r="K29" s="191"/>
    </row>
    <row r="30" spans="1:14" x14ac:dyDescent="0.45">
      <c r="A30" s="192" t="s">
        <v>1042</v>
      </c>
      <c r="B30" s="188"/>
      <c r="C30" s="182"/>
      <c r="D30" s="207">
        <f>SUM('2024-2025'!CN303)</f>
        <v>153</v>
      </c>
      <c r="E30" s="214"/>
      <c r="F30" s="193">
        <f t="shared" si="2"/>
        <v>153</v>
      </c>
      <c r="G30" s="193"/>
      <c r="H30" s="182"/>
      <c r="I30" s="182"/>
      <c r="J30" s="182"/>
      <c r="K30" s="191"/>
    </row>
    <row r="31" spans="1:14" x14ac:dyDescent="0.45">
      <c r="A31" s="192" t="s">
        <v>1043</v>
      </c>
      <c r="B31" s="188"/>
      <c r="C31" s="182"/>
      <c r="D31" s="207">
        <f>SUM('2024-2025'!CZ303)</f>
        <v>74.7</v>
      </c>
      <c r="E31" s="214"/>
      <c r="F31" s="193">
        <f t="shared" si="2"/>
        <v>74.7</v>
      </c>
      <c r="G31" s="193">
        <v>1363.92</v>
      </c>
      <c r="H31" s="182"/>
      <c r="I31" s="182"/>
      <c r="J31" s="189"/>
      <c r="K31" s="191"/>
    </row>
    <row r="32" spans="1:14" x14ac:dyDescent="0.45">
      <c r="A32" s="192" t="s">
        <v>1070</v>
      </c>
      <c r="B32" s="188"/>
      <c r="C32" s="182"/>
      <c r="D32" s="207">
        <f>SUM('2024-2025'!CJ303:CM303,'2024-2025'!CO303,'2024-2025'!DD303)-D23-E32</f>
        <v>6352.23</v>
      </c>
      <c r="E32" s="193">
        <v>350</v>
      </c>
      <c r="F32" s="193">
        <f t="shared" si="2"/>
        <v>6702.23</v>
      </c>
      <c r="G32" s="193">
        <v>15765.44</v>
      </c>
      <c r="H32" s="182"/>
      <c r="I32" s="189"/>
      <c r="J32" s="182"/>
      <c r="K32" s="191"/>
      <c r="N32" s="118"/>
    </row>
    <row r="33" spans="1:14" x14ac:dyDescent="0.45">
      <c r="A33" s="192" t="s">
        <v>1044</v>
      </c>
      <c r="B33" s="188"/>
      <c r="C33" s="182"/>
      <c r="D33" s="207">
        <f>SUM('2024-2025'!DB303)</f>
        <v>589.23000000000059</v>
      </c>
      <c r="E33" s="214"/>
      <c r="F33" s="193">
        <f t="shared" si="2"/>
        <v>589.23000000000059</v>
      </c>
      <c r="G33" s="193">
        <v>595.23</v>
      </c>
      <c r="H33" s="182"/>
      <c r="I33" s="182"/>
      <c r="J33" s="182"/>
      <c r="K33" s="191"/>
    </row>
    <row r="34" spans="1:14" x14ac:dyDescent="0.45">
      <c r="A34" s="192" t="s">
        <v>1071</v>
      </c>
      <c r="B34" s="188"/>
      <c r="C34" s="182"/>
      <c r="D34" s="215">
        <f>SUM('2024-2025'!CH303:CI303,'2024-2025'!DC303)</f>
        <v>291.96000000000004</v>
      </c>
      <c r="E34" s="188"/>
      <c r="F34" s="193">
        <f t="shared" ref="F34" si="3">SUM(D34:E34)</f>
        <v>291.96000000000004</v>
      </c>
      <c r="G34" s="193">
        <f>118.6+25+28.24</f>
        <v>171.84</v>
      </c>
      <c r="H34" s="182"/>
      <c r="I34" s="182"/>
      <c r="J34" s="182"/>
      <c r="K34" s="191"/>
      <c r="L34" s="117"/>
      <c r="N34" s="191"/>
    </row>
    <row r="35" spans="1:14" x14ac:dyDescent="0.45">
      <c r="A35" s="192"/>
      <c r="B35" s="188"/>
      <c r="C35" s="182"/>
      <c r="D35" s="215"/>
      <c r="E35" s="188"/>
      <c r="F35" s="193"/>
      <c r="G35" s="193"/>
      <c r="H35" s="182"/>
      <c r="I35" s="182"/>
      <c r="J35" s="182"/>
      <c r="K35" s="191"/>
      <c r="N35" s="191"/>
    </row>
    <row r="36" spans="1:14" x14ac:dyDescent="0.45">
      <c r="A36" s="181" t="s">
        <v>1045</v>
      </c>
      <c r="B36" s="188"/>
      <c r="C36" s="181"/>
      <c r="D36" s="211">
        <f>SUM(D22:D34)</f>
        <v>18165.749999999996</v>
      </c>
      <c r="E36" s="211">
        <f>SUM(E22:E34)</f>
        <v>2706.31</v>
      </c>
      <c r="F36" s="212">
        <f>SUM(F22:F34)</f>
        <v>20872.059999999998</v>
      </c>
      <c r="G36" s="212">
        <f>SUM(G22:G34)</f>
        <v>27285.17</v>
      </c>
      <c r="H36" s="189"/>
      <c r="I36" s="189"/>
      <c r="J36" s="189"/>
      <c r="K36" s="191"/>
      <c r="N36" s="191"/>
    </row>
    <row r="37" spans="1:14" x14ac:dyDescent="0.45">
      <c r="A37" s="182"/>
      <c r="B37" s="188"/>
      <c r="C37" s="182"/>
      <c r="D37" s="189"/>
      <c r="E37" s="182"/>
      <c r="F37" s="193"/>
      <c r="G37" s="193"/>
      <c r="H37" s="182"/>
      <c r="I37" s="182"/>
      <c r="J37" s="182"/>
      <c r="K37" s="191"/>
      <c r="M37" s="117"/>
      <c r="N37" s="191"/>
    </row>
    <row r="38" spans="1:14" x14ac:dyDescent="0.45">
      <c r="A38" s="181" t="s">
        <v>1073</v>
      </c>
      <c r="B38" s="188"/>
      <c r="C38" s="182"/>
      <c r="D38" s="216">
        <f>SUM(D19-D36)</f>
        <v>7266.3000000000029</v>
      </c>
      <c r="E38" s="216">
        <f>SUM(E19-E36)</f>
        <v>-1656.31</v>
      </c>
      <c r="F38" s="217">
        <f>SUM(F19-F36)</f>
        <v>5609.9900000000016</v>
      </c>
      <c r="G38" s="217">
        <f>SUM(G19-G36)</f>
        <v>-5413.4699999999975</v>
      </c>
      <c r="H38" s="182"/>
      <c r="I38" s="182"/>
      <c r="J38" s="182"/>
      <c r="K38" s="182"/>
    </row>
    <row r="41" spans="1:14" x14ac:dyDescent="0.45">
      <c r="C41" s="118" t="s">
        <v>1046</v>
      </c>
    </row>
  </sheetData>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7"/>
  <sheetViews>
    <sheetView workbookViewId="0"/>
  </sheetViews>
  <sheetFormatPr defaultColWidth="9.1328125" defaultRowHeight="13.15" x14ac:dyDescent="0.4"/>
  <cols>
    <col min="1" max="1" width="49.6640625" style="11" customWidth="1"/>
    <col min="2" max="2" width="16.53125" style="11" customWidth="1"/>
    <col min="3" max="3" width="14.6640625" style="11" customWidth="1"/>
    <col min="4" max="4" width="12.86328125" style="238" bestFit="1" customWidth="1"/>
    <col min="5" max="5" width="12.6640625" style="239" customWidth="1"/>
    <col min="6" max="6" width="9.1328125" style="11"/>
    <col min="7" max="8" width="16.6640625" style="11" bestFit="1" customWidth="1"/>
    <col min="9" max="16384" width="9.1328125" style="11"/>
  </cols>
  <sheetData>
    <row r="1" spans="1:8" ht="15" x14ac:dyDescent="0.4">
      <c r="A1" s="194" t="s">
        <v>1007</v>
      </c>
      <c r="B1" s="194"/>
      <c r="C1" s="194"/>
      <c r="D1" s="226"/>
      <c r="E1" s="227"/>
    </row>
    <row r="2" spans="1:8" ht="15" x14ac:dyDescent="0.4">
      <c r="A2" s="194" t="s">
        <v>1047</v>
      </c>
      <c r="B2" s="194"/>
      <c r="C2" s="194"/>
      <c r="D2" s="226"/>
      <c r="E2" s="227"/>
    </row>
    <row r="3" spans="1:8" ht="15" x14ac:dyDescent="0.4">
      <c r="A3" s="195">
        <v>45747</v>
      </c>
      <c r="B3" s="228" t="s">
        <v>1027</v>
      </c>
      <c r="C3" s="228" t="s">
        <v>1028</v>
      </c>
      <c r="D3" s="226"/>
      <c r="E3" s="227"/>
    </row>
    <row r="4" spans="1:8" ht="15" x14ac:dyDescent="0.4">
      <c r="A4" s="196"/>
      <c r="B4" s="229" t="s">
        <v>1029</v>
      </c>
      <c r="C4" s="229" t="s">
        <v>1029</v>
      </c>
      <c r="D4" s="226" t="s">
        <v>0</v>
      </c>
      <c r="E4" s="227" t="s">
        <v>0</v>
      </c>
    </row>
    <row r="5" spans="1:8" ht="15" x14ac:dyDescent="0.4">
      <c r="A5" s="197"/>
      <c r="B5" s="230">
        <v>2025</v>
      </c>
      <c r="C5" s="230">
        <v>2025</v>
      </c>
      <c r="D5" s="230">
        <v>2025</v>
      </c>
      <c r="E5" s="231">
        <v>2024</v>
      </c>
    </row>
    <row r="6" spans="1:8" ht="15" x14ac:dyDescent="0.4">
      <c r="A6" s="196"/>
      <c r="B6" s="229" t="s">
        <v>1031</v>
      </c>
      <c r="C6" s="229" t="s">
        <v>1031</v>
      </c>
      <c r="D6" s="229" t="s">
        <v>1031</v>
      </c>
      <c r="E6" s="232" t="s">
        <v>1031</v>
      </c>
    </row>
    <row r="7" spans="1:8" ht="15" x14ac:dyDescent="0.4">
      <c r="A7" s="194" t="s">
        <v>1048</v>
      </c>
      <c r="B7" s="196"/>
      <c r="C7" s="196"/>
      <c r="D7" s="226"/>
      <c r="E7" s="227"/>
    </row>
    <row r="8" spans="1:8" ht="15" x14ac:dyDescent="0.4">
      <c r="A8" s="196" t="s">
        <v>1049</v>
      </c>
      <c r="D8" s="11"/>
      <c r="E8" s="11"/>
    </row>
    <row r="9" spans="1:8" ht="15" x14ac:dyDescent="0.4">
      <c r="A9" s="196" t="s">
        <v>1050</v>
      </c>
      <c r="B9" s="234">
        <f>15201.08-C9</f>
        <v>12844.77</v>
      </c>
      <c r="C9" s="234">
        <v>2356.31</v>
      </c>
      <c r="D9" s="234">
        <f>SUM(B9:C9)</f>
        <v>15201.08</v>
      </c>
      <c r="E9" s="233">
        <v>15201.08</v>
      </c>
    </row>
    <row r="10" spans="1:8" ht="15" x14ac:dyDescent="0.4">
      <c r="A10" s="196" t="s">
        <v>1051</v>
      </c>
      <c r="B10" s="234"/>
      <c r="C10" s="234"/>
      <c r="D10" s="234"/>
      <c r="E10" s="233">
        <v>0</v>
      </c>
    </row>
    <row r="11" spans="1:8" ht="15" x14ac:dyDescent="0.4">
      <c r="A11" s="196" t="s">
        <v>1052</v>
      </c>
      <c r="B11" s="201">
        <f>SUM(B9:B10)</f>
        <v>12844.77</v>
      </c>
      <c r="C11" s="201">
        <f>SUM(C9:C10)</f>
        <v>2356.31</v>
      </c>
      <c r="D11" s="201">
        <f>SUM(D9:D10)</f>
        <v>15201.08</v>
      </c>
      <c r="E11" s="235">
        <f>SUM(E9:E10)</f>
        <v>15201.08</v>
      </c>
      <c r="G11" s="198"/>
    </row>
    <row r="12" spans="1:8" ht="15" x14ac:dyDescent="0.4">
      <c r="A12" s="196"/>
      <c r="B12" s="226"/>
      <c r="C12" s="196"/>
      <c r="D12" s="226"/>
      <c r="E12" s="227"/>
      <c r="F12" s="199"/>
      <c r="H12" s="200"/>
    </row>
    <row r="13" spans="1:8" ht="15.4" thickBot="1" x14ac:dyDescent="0.45">
      <c r="A13" s="194" t="s">
        <v>1053</v>
      </c>
      <c r="B13" s="236">
        <f>B11</f>
        <v>12844.77</v>
      </c>
      <c r="C13" s="236">
        <f t="shared" ref="C13:E13" si="0">C11</f>
        <v>2356.31</v>
      </c>
      <c r="D13" s="236">
        <f t="shared" si="0"/>
        <v>15201.08</v>
      </c>
      <c r="E13" s="236">
        <f t="shared" si="0"/>
        <v>15201.08</v>
      </c>
      <c r="F13" s="199"/>
      <c r="H13" s="200"/>
    </row>
    <row r="14" spans="1:8" ht="15.4" thickTop="1" x14ac:dyDescent="0.4">
      <c r="A14" s="196"/>
      <c r="B14" s="226"/>
      <c r="C14" s="196"/>
      <c r="D14" s="226"/>
      <c r="E14" s="227"/>
      <c r="F14" s="199"/>
      <c r="H14" s="200"/>
    </row>
    <row r="15" spans="1:8" ht="15" x14ac:dyDescent="0.4">
      <c r="A15" s="196"/>
      <c r="B15" s="226"/>
      <c r="C15" s="196"/>
      <c r="D15" s="226"/>
      <c r="E15" s="227"/>
      <c r="F15" s="199"/>
      <c r="H15" s="200"/>
    </row>
    <row r="16" spans="1:8" ht="15" x14ac:dyDescent="0.4">
      <c r="A16" s="194" t="s">
        <v>1054</v>
      </c>
      <c r="B16" s="194"/>
      <c r="C16" s="194"/>
      <c r="D16" s="226"/>
      <c r="E16" s="227"/>
    </row>
    <row r="17" spans="1:7" ht="15" x14ac:dyDescent="0.4">
      <c r="A17" s="196" t="s">
        <v>1072</v>
      </c>
      <c r="B17" s="234">
        <f>15201.08-C17</f>
        <v>12844.77</v>
      </c>
      <c r="C17" s="234">
        <v>2356.31</v>
      </c>
      <c r="D17" s="234">
        <f>SUM(B17:C17)</f>
        <v>15201.08</v>
      </c>
      <c r="E17" s="233">
        <v>20614.55</v>
      </c>
      <c r="G17" s="198"/>
    </row>
    <row r="18" spans="1:7" ht="15" x14ac:dyDescent="0.4">
      <c r="A18" s="196" t="s">
        <v>1055</v>
      </c>
      <c r="B18" s="234">
        <f>'P &amp; L'!D38</f>
        <v>7266.3000000000029</v>
      </c>
      <c r="C18" s="234">
        <f>'P &amp; L'!E38</f>
        <v>-1656.31</v>
      </c>
      <c r="D18" s="234">
        <f>SUM(B18:C18)</f>
        <v>5609.9900000000034</v>
      </c>
      <c r="E18" s="233">
        <v>-5413.4700000000012</v>
      </c>
    </row>
    <row r="19" spans="1:7" ht="15" x14ac:dyDescent="0.4">
      <c r="A19" s="196" t="s">
        <v>1074</v>
      </c>
      <c r="B19" s="201">
        <f>SUM(B16:B18)</f>
        <v>20111.070000000003</v>
      </c>
      <c r="C19" s="201">
        <f>SUM(C17:C18)</f>
        <v>700</v>
      </c>
      <c r="D19" s="201">
        <f>SUM(D17:D18)</f>
        <v>20811.070000000003</v>
      </c>
      <c r="E19" s="235">
        <f>SUM(E17:E18)</f>
        <v>15201.079999999998</v>
      </c>
    </row>
    <row r="20" spans="1:7" ht="15" x14ac:dyDescent="0.4">
      <c r="A20" s="196"/>
      <c r="B20" s="234"/>
      <c r="C20" s="233"/>
      <c r="D20" s="234"/>
      <c r="E20" s="233"/>
      <c r="G20" s="200"/>
    </row>
    <row r="21" spans="1:7" ht="15" x14ac:dyDescent="0.4">
      <c r="A21" s="196"/>
      <c r="B21" s="196"/>
      <c r="C21" s="196"/>
      <c r="D21" s="226"/>
      <c r="E21" s="227"/>
    </row>
    <row r="22" spans="1:7" ht="15" x14ac:dyDescent="0.4">
      <c r="A22" s="196"/>
      <c r="B22" s="196"/>
      <c r="C22" s="196"/>
      <c r="D22" s="226"/>
      <c r="E22" s="227"/>
    </row>
    <row r="23" spans="1:7" ht="15.75" x14ac:dyDescent="0.5">
      <c r="A23" s="185" t="s">
        <v>1056</v>
      </c>
      <c r="B23" s="225"/>
      <c r="C23" s="225"/>
      <c r="D23" s="226"/>
      <c r="E23" s="227"/>
    </row>
    <row r="24" spans="1:7" ht="36.75" customHeight="1" x14ac:dyDescent="0.5">
      <c r="A24" s="281" t="s">
        <v>1057</v>
      </c>
      <c r="B24" s="281"/>
      <c r="C24" s="281"/>
      <c r="D24" s="282"/>
      <c r="E24" s="282"/>
    </row>
    <row r="25" spans="1:7" ht="15" x14ac:dyDescent="0.4">
      <c r="A25" s="196" t="s">
        <v>1058</v>
      </c>
      <c r="B25" s="196"/>
      <c r="C25" s="196"/>
      <c r="D25" s="226"/>
      <c r="E25" s="227"/>
    </row>
    <row r="26" spans="1:7" ht="15" x14ac:dyDescent="0.4">
      <c r="A26" s="196"/>
      <c r="B26" s="196"/>
      <c r="C26" s="196"/>
      <c r="D26" s="226"/>
      <c r="E26" s="227"/>
    </row>
    <row r="27" spans="1:7" ht="15" x14ac:dyDescent="0.4">
      <c r="A27" s="202"/>
      <c r="B27" s="202"/>
      <c r="C27" s="202"/>
      <c r="D27" s="226"/>
      <c r="E27" s="227"/>
    </row>
    <row r="28" spans="1:7" customFormat="1" ht="15.75" x14ac:dyDescent="0.5">
      <c r="A28" s="203" t="s">
        <v>1059</v>
      </c>
      <c r="B28" s="203"/>
      <c r="C28" s="203"/>
      <c r="D28" s="226"/>
      <c r="E28" s="237"/>
    </row>
    <row r="29" spans="1:7" customFormat="1" ht="15.75" x14ac:dyDescent="0.5">
      <c r="A29" s="283" t="s">
        <v>1060</v>
      </c>
      <c r="B29" s="284"/>
      <c r="C29" s="202"/>
      <c r="D29" s="226"/>
      <c r="E29" s="237"/>
    </row>
    <row r="30" spans="1:7" customFormat="1" ht="15.75" x14ac:dyDescent="0.5">
      <c r="A30" s="202"/>
      <c r="B30" s="202"/>
      <c r="C30" s="202"/>
      <c r="D30" s="226"/>
      <c r="E30" s="237"/>
    </row>
    <row r="31" spans="1:7" customFormat="1" ht="15.75" x14ac:dyDescent="0.5">
      <c r="A31" s="202"/>
      <c r="B31" s="202"/>
      <c r="C31" s="202"/>
      <c r="D31" s="226"/>
      <c r="E31" s="237"/>
    </row>
    <row r="32" spans="1:7" customFormat="1" ht="15.75" x14ac:dyDescent="0.5">
      <c r="A32" s="202"/>
      <c r="B32" s="202"/>
      <c r="C32" s="202"/>
      <c r="D32" s="226"/>
      <c r="E32" s="237"/>
    </row>
    <row r="33" spans="1:5" customFormat="1" ht="15.75" x14ac:dyDescent="0.5">
      <c r="A33" s="202"/>
      <c r="B33" s="202"/>
      <c r="C33" s="202"/>
      <c r="D33" s="226"/>
      <c r="E33" s="237"/>
    </row>
    <row r="34" spans="1:5" customFormat="1" ht="15.75" x14ac:dyDescent="0.5">
      <c r="A34" s="202"/>
      <c r="B34" s="202"/>
      <c r="C34" s="202"/>
      <c r="D34" s="226"/>
      <c r="E34" s="237"/>
    </row>
    <row r="35" spans="1:5" customFormat="1" ht="15.75" x14ac:dyDescent="0.5">
      <c r="A35" s="283" t="s">
        <v>1061</v>
      </c>
      <c r="B35" s="284"/>
      <c r="C35" s="284"/>
      <c r="D35" s="226"/>
      <c r="E35" s="237"/>
    </row>
    <row r="36" spans="1:5" customFormat="1" ht="32.450000000000003" customHeight="1" x14ac:dyDescent="0.5">
      <c r="A36" s="202"/>
      <c r="B36" s="202"/>
      <c r="C36" s="202"/>
      <c r="D36" s="226"/>
      <c r="E36" s="237"/>
    </row>
    <row r="37" spans="1:5" customFormat="1" ht="15.75" x14ac:dyDescent="0.5">
      <c r="A37" s="283" t="s">
        <v>1062</v>
      </c>
      <c r="B37" s="285"/>
      <c r="C37" s="285"/>
      <c r="D37" s="285"/>
      <c r="E37" s="285"/>
    </row>
    <row r="38" spans="1:5" ht="15" x14ac:dyDescent="0.4">
      <c r="A38" s="202"/>
      <c r="B38" s="202"/>
      <c r="C38" s="202"/>
      <c r="D38" s="226"/>
      <c r="E38" s="227"/>
    </row>
    <row r="39" spans="1:5" ht="15" x14ac:dyDescent="0.4">
      <c r="A39" s="196"/>
      <c r="B39" s="196"/>
      <c r="C39" s="196"/>
      <c r="D39" s="226"/>
      <c r="E39" s="227"/>
    </row>
    <row r="40" spans="1:5" ht="47" customHeight="1" x14ac:dyDescent="0.4">
      <c r="A40" s="196"/>
      <c r="B40" s="196"/>
      <c r="C40" s="196"/>
      <c r="D40" s="226"/>
      <c r="E40" s="227"/>
    </row>
    <row r="41" spans="1:5" ht="15" x14ac:dyDescent="0.4">
      <c r="A41" s="196"/>
      <c r="B41" s="196"/>
      <c r="C41" s="196"/>
      <c r="D41" s="226"/>
      <c r="E41" s="227"/>
    </row>
    <row r="42" spans="1:5" ht="15" x14ac:dyDescent="0.4">
      <c r="A42" s="194" t="s">
        <v>1063</v>
      </c>
      <c r="B42" s="194"/>
      <c r="C42" s="194"/>
      <c r="D42" s="226"/>
      <c r="E42" s="227"/>
    </row>
    <row r="43" spans="1:5" ht="15" x14ac:dyDescent="0.4">
      <c r="A43" s="194" t="s">
        <v>1064</v>
      </c>
      <c r="B43" s="194"/>
      <c r="C43" s="194"/>
      <c r="D43" s="226"/>
      <c r="E43" s="227"/>
    </row>
    <row r="44" spans="1:5" ht="15" x14ac:dyDescent="0.4">
      <c r="A44" s="196"/>
      <c r="B44" s="196"/>
      <c r="C44" s="196"/>
      <c r="D44" s="226"/>
      <c r="E44" s="227"/>
    </row>
    <row r="45" spans="1:5" ht="15" x14ac:dyDescent="0.4">
      <c r="A45" s="196"/>
      <c r="B45" s="196"/>
      <c r="C45" s="196"/>
      <c r="D45" s="226"/>
      <c r="E45" s="227"/>
    </row>
    <row r="57" spans="1:5" x14ac:dyDescent="0.4">
      <c r="A57" s="280" t="s">
        <v>1065</v>
      </c>
      <c r="B57" s="280"/>
      <c r="C57" s="280"/>
      <c r="D57" s="280"/>
      <c r="E57" s="280"/>
    </row>
  </sheetData>
  <mergeCells count="5">
    <mergeCell ref="A24:E24"/>
    <mergeCell ref="A29:B29"/>
    <mergeCell ref="A35:C35"/>
    <mergeCell ref="A37:E37"/>
    <mergeCell ref="A57:E57"/>
  </mergeCells>
  <pageMargins left="0.7" right="0.7" top="0.75" bottom="0.75" header="0.3" footer="0.3"/>
  <pageSetup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EU306"/>
  <sheetViews>
    <sheetView tabSelected="1" workbookViewId="0">
      <pane xSplit="8" ySplit="8" topLeftCell="CM271" activePane="bottomRight" state="frozen"/>
      <selection pane="topRight" activeCell="I1" sqref="I1"/>
      <selection pane="bottomLeft" activeCell="A9" sqref="A9"/>
      <selection pane="bottomRight" activeCell="E305" sqref="E305:F305"/>
    </sheetView>
  </sheetViews>
  <sheetFormatPr defaultRowHeight="14.25" x14ac:dyDescent="0.45"/>
  <cols>
    <col min="1" max="1" width="11.1328125" style="95" customWidth="1"/>
    <col min="2" max="2" width="81.86328125" style="6" bestFit="1" customWidth="1"/>
    <col min="3" max="3" width="13.53125" style="3" customWidth="1"/>
    <col min="4" max="4" width="10.33203125" customWidth="1"/>
    <col min="5" max="5" width="9.46484375" style="15" customWidth="1"/>
    <col min="6" max="6" width="10" style="15" customWidth="1"/>
    <col min="7" max="7" width="9.6640625" style="15" customWidth="1"/>
    <col min="8" max="8" width="5" style="15" customWidth="1"/>
    <col min="9" max="13" width="10.1328125" style="15" customWidth="1"/>
    <col min="14" max="23" width="9.6640625" style="15" customWidth="1"/>
    <col min="24" max="24" width="9.1328125" style="15" customWidth="1"/>
    <col min="25" max="39" width="9.6640625" style="15" customWidth="1"/>
    <col min="40" max="44" width="10.1328125" style="15" customWidth="1"/>
    <col min="45" max="49" width="9.1328125" style="15" customWidth="1"/>
    <col min="50" max="55" width="9.86328125" style="15" customWidth="1"/>
    <col min="56" max="60" width="9.1328125" style="15" customWidth="1"/>
    <col min="61" max="66" width="10.1328125" style="15" customWidth="1"/>
    <col min="67" max="67" width="10" style="15" customWidth="1"/>
    <col min="68" max="70" width="10.1328125" style="15" customWidth="1"/>
    <col min="71" max="75" width="9.1328125" style="15" customWidth="1"/>
    <col min="76" max="76" width="10.46484375" style="15" customWidth="1"/>
    <col min="77" max="77" width="9.1328125" style="15" customWidth="1"/>
    <col min="78" max="80" width="10.33203125" style="15" customWidth="1"/>
    <col min="81" max="84" width="9.1328125" style="15" customWidth="1"/>
    <col min="85" max="85" width="11.53125" style="15" customWidth="1"/>
    <col min="86" max="86" width="12.46484375" style="15" customWidth="1"/>
    <col min="87" max="87" width="11.53125" style="15" customWidth="1"/>
    <col min="88" max="88" width="9.1328125" style="15" customWidth="1"/>
    <col min="89" max="89" width="9.6640625" style="15" customWidth="1"/>
    <col min="90" max="90" width="9.1328125" style="15" customWidth="1"/>
    <col min="91" max="93" width="9.86328125" style="15" customWidth="1"/>
    <col min="94" max="94" width="9.33203125" style="15" customWidth="1"/>
    <col min="95" max="95" width="10.33203125" style="15" customWidth="1"/>
    <col min="96" max="96" width="11.33203125" style="15" customWidth="1"/>
    <col min="97" max="97" width="10" style="15" customWidth="1"/>
    <col min="98" max="98" width="9.6640625" style="15" customWidth="1"/>
    <col min="99" max="99" width="11.33203125" style="15" customWidth="1"/>
    <col min="100" max="101" width="11.46484375" style="15" customWidth="1"/>
    <col min="102" max="102" width="9.1328125" style="15" customWidth="1"/>
    <col min="103" max="103" width="10.33203125" style="15" customWidth="1"/>
    <col min="104" max="104" width="10" customWidth="1"/>
    <col min="105" max="105" width="7.46484375" customWidth="1"/>
    <col min="106" max="106" width="10.33203125" style="15" customWidth="1"/>
    <col min="107" max="107" width="9.86328125" style="15" customWidth="1"/>
    <col min="108" max="108" width="9.1328125" style="15" customWidth="1"/>
    <col min="109" max="109" width="9.33203125" style="15" bestFit="1" customWidth="1"/>
    <col min="110" max="110" width="3.33203125" style="15" customWidth="1"/>
    <col min="111" max="111" width="9.86328125" style="15" customWidth="1"/>
    <col min="112" max="112" width="9.1328125" style="15" customWidth="1"/>
    <col min="113" max="113" width="8" style="15" bestFit="1" customWidth="1"/>
    <col min="114" max="114" width="2.6640625" style="15" customWidth="1"/>
    <col min="115" max="115" width="9.86328125" style="15" customWidth="1"/>
    <col min="116" max="116" width="9.1328125" style="15" customWidth="1"/>
    <col min="117" max="117" width="8" style="15" bestFit="1" customWidth="1"/>
    <col min="118" max="118" width="2.86328125" style="15" customWidth="1"/>
    <col min="119" max="119" width="9.86328125" style="15" customWidth="1"/>
    <col min="120" max="120" width="10.1328125" style="15" customWidth="1"/>
    <col min="121" max="121" width="8" style="15" bestFit="1" customWidth="1"/>
    <col min="122" max="122" width="2.6640625" style="15" customWidth="1"/>
    <col min="123" max="123" width="2.86328125" style="15" customWidth="1"/>
    <col min="124" max="124" width="9.86328125" style="15" customWidth="1"/>
    <col min="125" max="125" width="10.1328125" style="15" customWidth="1"/>
    <col min="126" max="126" width="8" style="15" bestFit="1" customWidth="1"/>
    <col min="127" max="127" width="2.6640625" style="15" customWidth="1"/>
    <col min="128" max="128" width="9.86328125" style="15" customWidth="1"/>
    <col min="129" max="129" width="9.1328125" style="15" customWidth="1"/>
    <col min="130" max="130" width="9" style="15" bestFit="1" customWidth="1"/>
    <col min="131" max="131" width="3.1328125" style="15" customWidth="1"/>
    <col min="132" max="132" width="9.86328125" style="15" customWidth="1"/>
    <col min="133" max="133" width="9.1328125" style="15" customWidth="1"/>
    <col min="134" max="134" width="8" style="15" bestFit="1" customWidth="1"/>
    <col min="135" max="135" width="2.6640625" style="15" customWidth="1"/>
    <col min="136" max="136" width="10.53125" style="15" customWidth="1"/>
    <col min="137" max="137" width="9.1328125" style="15" customWidth="1"/>
    <col min="138" max="138" width="8" style="15" bestFit="1" customWidth="1"/>
    <col min="139" max="139" width="3.1328125" customWidth="1"/>
    <col min="140" max="140" width="10.33203125" customWidth="1"/>
    <col min="141" max="142" width="9.1328125" customWidth="1"/>
    <col min="143" max="143" width="2.6640625" customWidth="1"/>
    <col min="144" max="144" width="8.33203125" customWidth="1"/>
    <col min="145" max="145" width="3" customWidth="1"/>
    <col min="147" max="147" width="9.86328125" bestFit="1" customWidth="1"/>
    <col min="148" max="148" width="9.6640625" customWidth="1"/>
    <col min="150" max="150" width="20.33203125" bestFit="1" customWidth="1"/>
  </cols>
  <sheetData>
    <row r="1" spans="1:151" ht="15.4" x14ac:dyDescent="0.45">
      <c r="A1" s="13" t="s">
        <v>645</v>
      </c>
      <c r="F1" s="15" t="s">
        <v>876</v>
      </c>
      <c r="CZ1" s="15"/>
      <c r="DA1" s="15"/>
      <c r="DE1"/>
      <c r="DF1"/>
      <c r="EI1" s="15"/>
      <c r="EJ1" s="15"/>
      <c r="EK1" s="15"/>
      <c r="EL1" s="15"/>
      <c r="EM1" s="15"/>
    </row>
    <row r="2" spans="1:151" ht="14.45" customHeight="1" x14ac:dyDescent="0.45">
      <c r="A2" s="13" t="s">
        <v>117</v>
      </c>
      <c r="E2" s="15" t="s">
        <v>874</v>
      </c>
      <c r="F2" s="15" t="s">
        <v>873</v>
      </c>
      <c r="BY2" s="16" t="e">
        <f>F2-SUM(I2:AR2)+G2-SUM(AS2:BX2)+J2+O2+T2+Y2+AE2+AJ2+AO2-AT2-AY2-BE2-BJ2-BO2-BT2</f>
        <v>#VALUE!</v>
      </c>
      <c r="CZ2" s="15"/>
      <c r="DA2" s="15"/>
      <c r="DE2"/>
      <c r="DF2"/>
      <c r="EI2" s="15"/>
      <c r="EJ2" s="15"/>
      <c r="EK2" s="15"/>
      <c r="EL2" s="15"/>
      <c r="EM2" s="15"/>
    </row>
    <row r="3" spans="1:151" ht="12.6" customHeight="1" thickBot="1" x14ac:dyDescent="0.5">
      <c r="A3" s="17"/>
      <c r="B3" s="18" t="s">
        <v>118</v>
      </c>
      <c r="F3" s="15" t="s">
        <v>875</v>
      </c>
      <c r="CZ3" s="15"/>
      <c r="DA3" s="15"/>
      <c r="DE3"/>
      <c r="DF3"/>
      <c r="EI3" s="15"/>
      <c r="EJ3" s="15"/>
      <c r="EK3" s="15"/>
      <c r="EL3" s="15"/>
      <c r="EM3" s="15"/>
    </row>
    <row r="4" spans="1:151" ht="32" customHeight="1" thickTop="1" thickBot="1" x14ac:dyDescent="0.5">
      <c r="A4" s="13"/>
      <c r="I4" s="258" t="s">
        <v>119</v>
      </c>
      <c r="J4" s="259"/>
      <c r="K4" s="259"/>
      <c r="L4" s="259"/>
      <c r="M4" s="260"/>
      <c r="N4" s="259" t="s">
        <v>119</v>
      </c>
      <c r="O4" s="259"/>
      <c r="P4" s="259"/>
      <c r="Q4" s="259"/>
      <c r="R4" s="260"/>
      <c r="S4" s="259" t="s">
        <v>119</v>
      </c>
      <c r="T4" s="259"/>
      <c r="U4" s="259"/>
      <c r="V4" s="259"/>
      <c r="W4" s="260"/>
      <c r="X4" s="259" t="s">
        <v>119</v>
      </c>
      <c r="Y4" s="259"/>
      <c r="Z4" s="259"/>
      <c r="AA4" s="259"/>
      <c r="AB4" s="259"/>
      <c r="AC4" s="260"/>
      <c r="AD4" s="259" t="s">
        <v>119</v>
      </c>
      <c r="AE4" s="259"/>
      <c r="AF4" s="259"/>
      <c r="AG4" s="259"/>
      <c r="AH4" s="260"/>
      <c r="AI4" s="259" t="s">
        <v>119</v>
      </c>
      <c r="AJ4" s="259"/>
      <c r="AK4" s="259"/>
      <c r="AL4" s="259"/>
      <c r="AM4" s="260"/>
      <c r="AN4" s="259" t="s">
        <v>119</v>
      </c>
      <c r="AO4" s="259"/>
      <c r="AP4" s="259"/>
      <c r="AQ4" s="259"/>
      <c r="AR4" s="261"/>
      <c r="AS4" s="262" t="s">
        <v>120</v>
      </c>
      <c r="AT4" s="256"/>
      <c r="AU4" s="256"/>
      <c r="AV4" s="256"/>
      <c r="AW4" s="256"/>
      <c r="AX4" s="256" t="s">
        <v>120</v>
      </c>
      <c r="AY4" s="256"/>
      <c r="AZ4" s="256"/>
      <c r="BA4" s="256"/>
      <c r="BB4" s="256"/>
      <c r="BC4" s="256"/>
      <c r="BD4" s="256" t="s">
        <v>120</v>
      </c>
      <c r="BE4" s="256"/>
      <c r="BF4" s="256"/>
      <c r="BG4" s="256"/>
      <c r="BH4" s="256"/>
      <c r="BI4" s="256" t="s">
        <v>120</v>
      </c>
      <c r="BJ4" s="256"/>
      <c r="BK4" s="256"/>
      <c r="BL4" s="256"/>
      <c r="BM4" s="256"/>
      <c r="BN4" s="256" t="s">
        <v>120</v>
      </c>
      <c r="BO4" s="256"/>
      <c r="BP4" s="256"/>
      <c r="BQ4" s="256"/>
      <c r="BR4" s="256"/>
      <c r="BS4" s="256" t="s">
        <v>120</v>
      </c>
      <c r="BT4" s="256"/>
      <c r="BU4" s="256"/>
      <c r="BV4" s="256"/>
      <c r="BW4" s="257"/>
      <c r="CZ4" s="15"/>
      <c r="DA4" s="15"/>
      <c r="DE4"/>
      <c r="DF4"/>
      <c r="DG4" s="252" t="s">
        <v>121</v>
      </c>
      <c r="DH4" s="252"/>
      <c r="DI4" s="252"/>
      <c r="DK4" s="252" t="s">
        <v>50</v>
      </c>
      <c r="DL4" s="252"/>
      <c r="DM4" s="252"/>
      <c r="DO4" s="252" t="s">
        <v>89</v>
      </c>
      <c r="DP4" s="252"/>
      <c r="DQ4" s="252"/>
      <c r="DT4" s="252" t="s">
        <v>681</v>
      </c>
      <c r="DU4" s="252"/>
      <c r="DV4" s="252"/>
      <c r="DX4" s="252" t="s">
        <v>122</v>
      </c>
      <c r="DY4" s="252"/>
      <c r="DZ4" s="252"/>
      <c r="EA4" s="19"/>
      <c r="EB4" s="252" t="s">
        <v>820</v>
      </c>
      <c r="EC4" s="252"/>
      <c r="ED4" s="252"/>
      <c r="EE4" s="19"/>
      <c r="EF4" s="250" t="s">
        <v>683</v>
      </c>
      <c r="EG4" s="251"/>
      <c r="EH4" s="251"/>
      <c r="EI4" s="19"/>
      <c r="EJ4" s="252" t="s">
        <v>123</v>
      </c>
      <c r="EK4" s="252"/>
      <c r="EL4" s="252"/>
      <c r="EM4" s="19"/>
    </row>
    <row r="5" spans="1:151" s="6" customFormat="1" ht="12" customHeight="1" thickTop="1" thickBot="1" x14ac:dyDescent="0.5">
      <c r="A5" s="5"/>
      <c r="C5" s="173"/>
      <c r="E5" s="21"/>
      <c r="F5" s="21"/>
      <c r="G5" s="21"/>
      <c r="H5" s="21"/>
      <c r="I5" s="22" t="s">
        <v>121</v>
      </c>
      <c r="J5" s="16" t="s">
        <v>50</v>
      </c>
      <c r="K5" s="16" t="s">
        <v>89</v>
      </c>
      <c r="L5" s="16" t="s">
        <v>124</v>
      </c>
      <c r="M5" s="16" t="s">
        <v>125</v>
      </c>
      <c r="N5" s="16" t="s">
        <v>121</v>
      </c>
      <c r="O5" s="16" t="s">
        <v>50</v>
      </c>
      <c r="P5" s="16" t="s">
        <v>89</v>
      </c>
      <c r="Q5" s="16" t="s">
        <v>124</v>
      </c>
      <c r="R5" s="16" t="s">
        <v>125</v>
      </c>
      <c r="S5" s="16" t="s">
        <v>121</v>
      </c>
      <c r="T5" s="16" t="s">
        <v>50</v>
      </c>
      <c r="U5" s="16" t="s">
        <v>89</v>
      </c>
      <c r="V5" s="16" t="s">
        <v>124</v>
      </c>
      <c r="W5" s="16" t="s">
        <v>125</v>
      </c>
      <c r="X5" s="16" t="s">
        <v>126</v>
      </c>
      <c r="Y5" s="16" t="s">
        <v>50</v>
      </c>
      <c r="Z5" s="16" t="s">
        <v>89</v>
      </c>
      <c r="AA5" s="16" t="s">
        <v>684</v>
      </c>
      <c r="AB5" s="16" t="s">
        <v>124</v>
      </c>
      <c r="AC5" s="16" t="s">
        <v>125</v>
      </c>
      <c r="AD5" s="16" t="s">
        <v>121</v>
      </c>
      <c r="AE5" s="16" t="s">
        <v>50</v>
      </c>
      <c r="AF5" s="16" t="s">
        <v>89</v>
      </c>
      <c r="AG5" s="16" t="s">
        <v>124</v>
      </c>
      <c r="AH5" s="16" t="s">
        <v>125</v>
      </c>
      <c r="AI5" s="16" t="s">
        <v>121</v>
      </c>
      <c r="AJ5" s="16" t="s">
        <v>50</v>
      </c>
      <c r="AK5" s="16" t="s">
        <v>89</v>
      </c>
      <c r="AL5" s="16" t="s">
        <v>124</v>
      </c>
      <c r="AM5" s="16" t="s">
        <v>125</v>
      </c>
      <c r="AN5" s="16" t="s">
        <v>121</v>
      </c>
      <c r="AO5" s="16" t="s">
        <v>50</v>
      </c>
      <c r="AP5" s="16" t="s">
        <v>89</v>
      </c>
      <c r="AQ5" s="16" t="s">
        <v>124</v>
      </c>
      <c r="AR5" s="23" t="s">
        <v>125</v>
      </c>
      <c r="AS5" s="22" t="s">
        <v>121</v>
      </c>
      <c r="AT5" s="16" t="s">
        <v>50</v>
      </c>
      <c r="AU5" s="16" t="s">
        <v>89</v>
      </c>
      <c r="AV5" s="16" t="s">
        <v>124</v>
      </c>
      <c r="AW5" s="16" t="s">
        <v>125</v>
      </c>
      <c r="AX5" s="16" t="s">
        <v>121</v>
      </c>
      <c r="AY5" s="16" t="s">
        <v>50</v>
      </c>
      <c r="AZ5" s="16" t="s">
        <v>89</v>
      </c>
      <c r="BA5" s="16" t="s">
        <v>684</v>
      </c>
      <c r="BB5" s="16" t="s">
        <v>124</v>
      </c>
      <c r="BC5" s="16" t="s">
        <v>125</v>
      </c>
      <c r="BD5" s="16" t="s">
        <v>121</v>
      </c>
      <c r="BE5" s="16" t="s">
        <v>50</v>
      </c>
      <c r="BF5" s="16" t="s">
        <v>89</v>
      </c>
      <c r="BG5" s="16" t="s">
        <v>124</v>
      </c>
      <c r="BH5" s="16" t="s">
        <v>125</v>
      </c>
      <c r="BI5" s="16" t="s">
        <v>121</v>
      </c>
      <c r="BJ5" s="16" t="s">
        <v>50</v>
      </c>
      <c r="BK5" s="16" t="s">
        <v>89</v>
      </c>
      <c r="BL5" s="16" t="s">
        <v>124</v>
      </c>
      <c r="BM5" s="16" t="s">
        <v>125</v>
      </c>
      <c r="BN5" s="16" t="s">
        <v>121</v>
      </c>
      <c r="BO5" s="16" t="s">
        <v>50</v>
      </c>
      <c r="BP5" s="16" t="s">
        <v>89</v>
      </c>
      <c r="BQ5" s="16" t="s">
        <v>124</v>
      </c>
      <c r="BR5" s="16" t="s">
        <v>125</v>
      </c>
      <c r="BS5" s="16" t="s">
        <v>121</v>
      </c>
      <c r="BT5" s="16" t="s">
        <v>50</v>
      </c>
      <c r="BU5" s="16" t="s">
        <v>89</v>
      </c>
      <c r="BV5" s="16" t="s">
        <v>124</v>
      </c>
      <c r="BW5" s="23" t="s">
        <v>125</v>
      </c>
      <c r="BX5" s="21"/>
      <c r="BY5" s="253" t="s">
        <v>127</v>
      </c>
      <c r="BZ5" s="254"/>
      <c r="CA5" s="254"/>
      <c r="CB5" s="254"/>
      <c r="CC5" s="254"/>
      <c r="CD5" s="254"/>
      <c r="CE5" s="254"/>
      <c r="CF5" s="254"/>
      <c r="CG5" s="255"/>
      <c r="CH5" s="253" t="s">
        <v>128</v>
      </c>
      <c r="CI5" s="254"/>
      <c r="CJ5" s="254"/>
      <c r="CK5" s="254"/>
      <c r="CL5" s="254"/>
      <c r="CM5" s="254"/>
      <c r="CN5" s="254"/>
      <c r="CO5" s="254"/>
      <c r="CP5" s="254"/>
      <c r="CQ5" s="254"/>
      <c r="CR5" s="254"/>
      <c r="CS5" s="254"/>
      <c r="CT5" s="254"/>
      <c r="CU5" s="254"/>
      <c r="CV5" s="254"/>
      <c r="CW5" s="254"/>
      <c r="CX5" s="254"/>
      <c r="CY5" s="254"/>
      <c r="CZ5" s="254"/>
      <c r="DA5" s="254"/>
      <c r="DB5" s="254"/>
      <c r="DC5" s="254"/>
      <c r="DD5" s="255"/>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row>
    <row r="6" spans="1:151" s="6" customFormat="1" ht="39.6" customHeight="1" thickTop="1" x14ac:dyDescent="0.45">
      <c r="A6" s="24" t="s">
        <v>129</v>
      </c>
      <c r="B6" s="25" t="s">
        <v>130</v>
      </c>
      <c r="C6" s="174" t="s">
        <v>131</v>
      </c>
      <c r="D6" s="25" t="s">
        <v>132</v>
      </c>
      <c r="E6" s="16" t="s">
        <v>133</v>
      </c>
      <c r="F6" s="16" t="s">
        <v>998</v>
      </c>
      <c r="G6" s="16" t="s">
        <v>134</v>
      </c>
      <c r="H6" s="26" t="s">
        <v>135</v>
      </c>
      <c r="I6" s="22" t="s">
        <v>136</v>
      </c>
      <c r="J6" s="16" t="s">
        <v>136</v>
      </c>
      <c r="K6" s="16" t="s">
        <v>136</v>
      </c>
      <c r="L6" s="16" t="s">
        <v>136</v>
      </c>
      <c r="M6" s="16" t="s">
        <v>136</v>
      </c>
      <c r="N6" s="27" t="s">
        <v>137</v>
      </c>
      <c r="O6" s="27" t="s">
        <v>137</v>
      </c>
      <c r="P6" s="27" t="s">
        <v>137</v>
      </c>
      <c r="Q6" s="27" t="s">
        <v>137</v>
      </c>
      <c r="R6" s="27" t="s">
        <v>137</v>
      </c>
      <c r="S6" s="16" t="s">
        <v>138</v>
      </c>
      <c r="T6" s="16" t="s">
        <v>138</v>
      </c>
      <c r="U6" s="16" t="s">
        <v>138</v>
      </c>
      <c r="V6" s="16" t="s">
        <v>138</v>
      </c>
      <c r="W6" s="16" t="s">
        <v>138</v>
      </c>
      <c r="X6" s="27" t="s">
        <v>139</v>
      </c>
      <c r="Y6" s="27" t="s">
        <v>139</v>
      </c>
      <c r="Z6" s="27" t="s">
        <v>139</v>
      </c>
      <c r="AA6" s="27" t="s">
        <v>139</v>
      </c>
      <c r="AB6" s="27" t="s">
        <v>139</v>
      </c>
      <c r="AC6" s="27" t="s">
        <v>139</v>
      </c>
      <c r="AD6" s="16" t="s">
        <v>140</v>
      </c>
      <c r="AE6" s="16" t="s">
        <v>140</v>
      </c>
      <c r="AF6" s="16" t="s">
        <v>140</v>
      </c>
      <c r="AG6" s="16" t="s">
        <v>140</v>
      </c>
      <c r="AH6" s="16" t="s">
        <v>140</v>
      </c>
      <c r="AI6" s="27" t="s">
        <v>141</v>
      </c>
      <c r="AJ6" s="27" t="s">
        <v>141</v>
      </c>
      <c r="AK6" s="27" t="s">
        <v>141</v>
      </c>
      <c r="AL6" s="27" t="s">
        <v>141</v>
      </c>
      <c r="AM6" s="27" t="s">
        <v>141</v>
      </c>
      <c r="AN6" s="16" t="s">
        <v>142</v>
      </c>
      <c r="AO6" s="16" t="s">
        <v>142</v>
      </c>
      <c r="AP6" s="16" t="s">
        <v>142</v>
      </c>
      <c r="AQ6" s="16" t="s">
        <v>142</v>
      </c>
      <c r="AR6" s="23" t="s">
        <v>142</v>
      </c>
      <c r="AS6" s="28" t="s">
        <v>143</v>
      </c>
      <c r="AT6" s="27" t="s">
        <v>143</v>
      </c>
      <c r="AU6" s="27" t="s">
        <v>143</v>
      </c>
      <c r="AV6" s="27" t="s">
        <v>143</v>
      </c>
      <c r="AW6" s="27" t="s">
        <v>143</v>
      </c>
      <c r="AX6" s="16" t="s">
        <v>144</v>
      </c>
      <c r="AY6" s="16" t="s">
        <v>144</v>
      </c>
      <c r="AZ6" s="16" t="s">
        <v>144</v>
      </c>
      <c r="BA6" s="16" t="s">
        <v>144</v>
      </c>
      <c r="BB6" s="16" t="s">
        <v>144</v>
      </c>
      <c r="BC6" s="16" t="s">
        <v>144</v>
      </c>
      <c r="BD6" s="29" t="s">
        <v>145</v>
      </c>
      <c r="BE6" s="29" t="s">
        <v>145</v>
      </c>
      <c r="BF6" s="29" t="s">
        <v>145</v>
      </c>
      <c r="BG6" s="29" t="s">
        <v>145</v>
      </c>
      <c r="BH6" s="29" t="s">
        <v>145</v>
      </c>
      <c r="BI6" s="16" t="s">
        <v>146</v>
      </c>
      <c r="BJ6" s="16" t="s">
        <v>146</v>
      </c>
      <c r="BK6" s="16" t="s">
        <v>146</v>
      </c>
      <c r="BL6" s="16" t="s">
        <v>146</v>
      </c>
      <c r="BM6" s="16" t="s">
        <v>146</v>
      </c>
      <c r="BN6" s="29" t="s">
        <v>147</v>
      </c>
      <c r="BO6" s="29" t="s">
        <v>147</v>
      </c>
      <c r="BP6" s="29" t="s">
        <v>147</v>
      </c>
      <c r="BQ6" s="29" t="s">
        <v>147</v>
      </c>
      <c r="BR6" s="29" t="s">
        <v>147</v>
      </c>
      <c r="BS6" s="16" t="s">
        <v>148</v>
      </c>
      <c r="BT6" s="16" t="s">
        <v>148</v>
      </c>
      <c r="BU6" s="16" t="s">
        <v>148</v>
      </c>
      <c r="BV6" s="16" t="s">
        <v>148</v>
      </c>
      <c r="BW6" s="23" t="s">
        <v>148</v>
      </c>
      <c r="BX6" s="30"/>
      <c r="BY6" s="31" t="s">
        <v>149</v>
      </c>
      <c r="BZ6" s="32" t="s">
        <v>150</v>
      </c>
      <c r="CA6" s="32" t="s">
        <v>151</v>
      </c>
      <c r="CB6" s="32" t="s">
        <v>152</v>
      </c>
      <c r="CC6" s="32" t="s">
        <v>153</v>
      </c>
      <c r="CD6" s="32" t="s">
        <v>154</v>
      </c>
      <c r="CE6" s="32" t="s">
        <v>155</v>
      </c>
      <c r="CF6" s="32" t="s">
        <v>156</v>
      </c>
      <c r="CG6" s="33" t="s">
        <v>157</v>
      </c>
      <c r="CH6" s="22" t="s">
        <v>158</v>
      </c>
      <c r="CI6" s="16" t="s">
        <v>159</v>
      </c>
      <c r="CJ6" s="16" t="s">
        <v>160</v>
      </c>
      <c r="CK6" s="34" t="s">
        <v>161</v>
      </c>
      <c r="CL6" s="34" t="s">
        <v>162</v>
      </c>
      <c r="CM6" s="16" t="s">
        <v>163</v>
      </c>
      <c r="CN6" s="16" t="s">
        <v>643</v>
      </c>
      <c r="CO6" s="16" t="s">
        <v>644</v>
      </c>
      <c r="CP6" s="16" t="s">
        <v>164</v>
      </c>
      <c r="CQ6" s="169" t="s">
        <v>165</v>
      </c>
      <c r="CR6" s="169" t="s">
        <v>166</v>
      </c>
      <c r="CS6" s="170" t="s">
        <v>167</v>
      </c>
      <c r="CT6" s="170" t="s">
        <v>168</v>
      </c>
      <c r="CU6" s="171" t="s">
        <v>169</v>
      </c>
      <c r="CV6" s="171" t="s">
        <v>170</v>
      </c>
      <c r="CW6" s="172" t="s">
        <v>871</v>
      </c>
      <c r="CX6" s="35" t="s">
        <v>171</v>
      </c>
      <c r="CY6" s="16" t="s">
        <v>172</v>
      </c>
      <c r="CZ6" s="25" t="s">
        <v>173</v>
      </c>
      <c r="DA6" s="34" t="s">
        <v>174</v>
      </c>
      <c r="DB6" s="32" t="s">
        <v>175</v>
      </c>
      <c r="DC6" s="36" t="s">
        <v>176</v>
      </c>
      <c r="DD6" s="37" t="s">
        <v>125</v>
      </c>
      <c r="DE6" s="6" t="s">
        <v>177</v>
      </c>
      <c r="DG6" s="165" t="s">
        <v>133</v>
      </c>
      <c r="DH6" s="166" t="s">
        <v>178</v>
      </c>
      <c r="DI6" s="167" t="s">
        <v>179</v>
      </c>
      <c r="DJ6" s="164"/>
      <c r="DK6" s="165" t="s">
        <v>133</v>
      </c>
      <c r="DL6" s="166" t="s">
        <v>178</v>
      </c>
      <c r="DM6" s="167" t="s">
        <v>179</v>
      </c>
      <c r="DN6" s="164"/>
      <c r="DO6" s="165" t="s">
        <v>133</v>
      </c>
      <c r="DP6" s="166" t="s">
        <v>178</v>
      </c>
      <c r="DQ6" s="167" t="s">
        <v>179</v>
      </c>
      <c r="DR6" s="21"/>
      <c r="DS6" s="21"/>
      <c r="DT6" s="38" t="s">
        <v>133</v>
      </c>
      <c r="DU6" s="39" t="s">
        <v>178</v>
      </c>
      <c r="DV6" s="40" t="s">
        <v>179</v>
      </c>
      <c r="DW6" s="21"/>
      <c r="DX6" s="38" t="s">
        <v>133</v>
      </c>
      <c r="DY6" s="39" t="s">
        <v>178</v>
      </c>
      <c r="DZ6" s="40" t="s">
        <v>179</v>
      </c>
      <c r="EA6" s="21"/>
      <c r="EB6" s="38" t="s">
        <v>133</v>
      </c>
      <c r="EC6" s="39" t="s">
        <v>178</v>
      </c>
      <c r="ED6" s="40" t="s">
        <v>179</v>
      </c>
      <c r="EE6" s="21"/>
      <c r="EF6" s="38" t="s">
        <v>133</v>
      </c>
      <c r="EG6" s="39" t="s">
        <v>178</v>
      </c>
      <c r="EH6" s="40" t="s">
        <v>179</v>
      </c>
      <c r="EI6" s="21"/>
      <c r="EJ6" s="38" t="s">
        <v>133</v>
      </c>
      <c r="EK6" s="39" t="s">
        <v>178</v>
      </c>
      <c r="EL6" s="40" t="s">
        <v>179</v>
      </c>
      <c r="EM6" s="21"/>
      <c r="EN6" s="20" t="s">
        <v>180</v>
      </c>
      <c r="EP6" s="41" t="s">
        <v>181</v>
      </c>
      <c r="EQ6" s="41" t="s">
        <v>182</v>
      </c>
      <c r="ER6" s="41" t="s">
        <v>183</v>
      </c>
      <c r="ET6" s="177" t="s">
        <v>1003</v>
      </c>
      <c r="EU6" s="6" t="s">
        <v>1002</v>
      </c>
    </row>
    <row r="7" spans="1:151" x14ac:dyDescent="0.45">
      <c r="A7" s="42">
        <v>45383</v>
      </c>
      <c r="B7" s="25" t="s">
        <v>184</v>
      </c>
      <c r="C7" s="10"/>
      <c r="D7" s="7"/>
      <c r="E7" s="43"/>
      <c r="F7" s="43"/>
      <c r="G7" s="16">
        <v>15201.08</v>
      </c>
      <c r="H7" s="26" t="s">
        <v>625</v>
      </c>
      <c r="I7" s="22"/>
      <c r="J7" s="16"/>
      <c r="K7" s="16"/>
      <c r="L7" s="16"/>
      <c r="M7" s="16"/>
      <c r="N7" s="16"/>
      <c r="O7" s="16"/>
      <c r="P7" s="16"/>
      <c r="Q7" s="16"/>
      <c r="R7" s="16"/>
      <c r="S7" s="16"/>
      <c r="T7" s="16"/>
      <c r="U7" s="16"/>
      <c r="V7" s="16"/>
      <c r="W7" s="16"/>
      <c r="X7" s="16"/>
      <c r="Y7" s="44"/>
      <c r="Z7" s="44"/>
      <c r="AA7" s="44"/>
      <c r="AB7" s="44"/>
      <c r="AC7" s="44"/>
      <c r="AD7" s="44"/>
      <c r="AE7" s="44"/>
      <c r="AF7" s="44"/>
      <c r="AG7" s="44"/>
      <c r="AH7" s="44"/>
      <c r="AI7" s="44"/>
      <c r="AJ7" s="44"/>
      <c r="AK7" s="44"/>
      <c r="AL7" s="44"/>
      <c r="AM7" s="44"/>
      <c r="AN7" s="44"/>
      <c r="AO7" s="44"/>
      <c r="AP7" s="44"/>
      <c r="AQ7" s="44"/>
      <c r="AR7" s="45"/>
      <c r="AS7" s="46"/>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16"/>
      <c r="BT7" s="16"/>
      <c r="BU7" s="16"/>
      <c r="BV7" s="16"/>
      <c r="BW7" s="23"/>
      <c r="BX7" s="30">
        <f t="shared" ref="BX7:BX70" si="0">E7-SUM(I7:AR7)+F7-SUM(AS7:BW7)</f>
        <v>0</v>
      </c>
      <c r="BY7" s="47"/>
      <c r="BZ7" s="48"/>
      <c r="CA7" s="48"/>
      <c r="CB7" s="48"/>
      <c r="CC7" s="48"/>
      <c r="CD7" s="49"/>
      <c r="CE7" s="48"/>
      <c r="CF7" s="48"/>
      <c r="CG7" s="50"/>
      <c r="CH7" s="47"/>
      <c r="CI7" s="48"/>
      <c r="CJ7" s="48"/>
      <c r="CK7" s="48"/>
      <c r="CL7" s="48"/>
      <c r="CM7" s="48"/>
      <c r="CN7" s="48"/>
      <c r="CO7" s="48"/>
      <c r="CP7" s="48"/>
      <c r="CQ7" s="48"/>
      <c r="CR7" s="48"/>
      <c r="CS7" s="48"/>
      <c r="CT7" s="48"/>
      <c r="CU7" s="48"/>
      <c r="CV7" s="48"/>
      <c r="CW7" s="48"/>
      <c r="CX7" s="48"/>
      <c r="CY7" s="48"/>
      <c r="CZ7" s="48"/>
      <c r="DA7" s="48"/>
      <c r="DB7" s="48"/>
      <c r="DC7" s="48"/>
      <c r="DD7" s="50"/>
      <c r="DE7" s="73">
        <f>SUM(E7:F7)-SUM(BY7:DD7)</f>
        <v>0</v>
      </c>
      <c r="DF7"/>
      <c r="DG7" s="52"/>
      <c r="DH7" s="43"/>
      <c r="DI7" s="53">
        <v>3756.45</v>
      </c>
      <c r="DK7" s="52"/>
      <c r="DL7" s="43"/>
      <c r="DM7" s="53">
        <v>2673.42</v>
      </c>
      <c r="DO7" s="52"/>
      <c r="DP7" s="43"/>
      <c r="DQ7" s="53">
        <v>6212.69</v>
      </c>
      <c r="DT7" s="52"/>
      <c r="DU7" s="43"/>
      <c r="DV7" s="53">
        <v>361.19</v>
      </c>
      <c r="DX7" s="52"/>
      <c r="DY7" s="43"/>
      <c r="DZ7" s="53">
        <v>-158.97999999999999</v>
      </c>
      <c r="EB7" s="52"/>
      <c r="EC7" s="43"/>
      <c r="ED7" s="53">
        <v>1031.31</v>
      </c>
      <c r="EF7" s="52"/>
      <c r="EG7" s="43"/>
      <c r="EH7" s="53">
        <v>1225</v>
      </c>
      <c r="EI7" s="15"/>
      <c r="EJ7" s="47"/>
      <c r="EK7" s="48"/>
      <c r="EL7" s="53">
        <v>100</v>
      </c>
      <c r="EM7" s="15"/>
      <c r="EN7" s="51"/>
      <c r="EP7" s="15"/>
      <c r="EQ7" s="15"/>
      <c r="ER7" s="15"/>
      <c r="ES7" s="54"/>
      <c r="EU7">
        <v>1</v>
      </c>
    </row>
    <row r="8" spans="1:151" s="6" customFormat="1" x14ac:dyDescent="0.45">
      <c r="A8" s="42">
        <v>45397</v>
      </c>
      <c r="B8" s="6" t="s">
        <v>686</v>
      </c>
      <c r="C8" s="175" t="s">
        <v>685</v>
      </c>
      <c r="D8" s="7"/>
      <c r="E8" s="43">
        <v>350</v>
      </c>
      <c r="F8" s="43"/>
      <c r="G8" s="16">
        <f t="shared" ref="G8:G71" si="1">G7+E8-F8</f>
        <v>15551.08</v>
      </c>
      <c r="H8" s="55" t="s">
        <v>625</v>
      </c>
      <c r="I8" s="46"/>
      <c r="J8" s="44"/>
      <c r="K8" s="44"/>
      <c r="L8" s="44"/>
      <c r="M8" s="44"/>
      <c r="N8" s="44"/>
      <c r="O8" s="44"/>
      <c r="P8" s="44"/>
      <c r="Q8" s="44"/>
      <c r="R8" s="44">
        <v>350</v>
      </c>
      <c r="S8" s="44"/>
      <c r="T8" s="44"/>
      <c r="U8" s="44"/>
      <c r="V8" s="44"/>
      <c r="W8" s="44"/>
      <c r="X8" s="44"/>
      <c r="Y8" s="44"/>
      <c r="Z8" s="44"/>
      <c r="AA8" s="44"/>
      <c r="AB8" s="44"/>
      <c r="AC8" s="44"/>
      <c r="AD8" s="44"/>
      <c r="AE8" s="44"/>
      <c r="AF8" s="44"/>
      <c r="AG8" s="44"/>
      <c r="AH8" s="44"/>
      <c r="AI8" s="44"/>
      <c r="AJ8" s="44"/>
      <c r="AK8" s="44"/>
      <c r="AL8" s="44"/>
      <c r="AM8" s="44"/>
      <c r="AN8" s="44"/>
      <c r="AO8" s="44"/>
      <c r="AP8" s="44"/>
      <c r="AQ8" s="44"/>
      <c r="AR8" s="45"/>
      <c r="AS8" s="46"/>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16"/>
      <c r="BT8" s="16"/>
      <c r="BU8" s="16"/>
      <c r="BV8" s="16"/>
      <c r="BW8" s="23"/>
      <c r="BX8" s="30">
        <f t="shared" si="0"/>
        <v>0</v>
      </c>
      <c r="BY8" s="56"/>
      <c r="BZ8" s="49"/>
      <c r="CA8" s="49"/>
      <c r="CB8" s="49"/>
      <c r="CC8" s="49"/>
      <c r="CD8" s="49"/>
      <c r="CE8" s="49">
        <v>350</v>
      </c>
      <c r="CF8" s="49"/>
      <c r="CG8" s="57"/>
      <c r="CH8" s="46"/>
      <c r="CI8" s="44"/>
      <c r="CJ8" s="44"/>
      <c r="CK8" s="44"/>
      <c r="CL8" s="44"/>
      <c r="CM8" s="44"/>
      <c r="CN8" s="44"/>
      <c r="CO8" s="44"/>
      <c r="CP8" s="48"/>
      <c r="CQ8" s="48"/>
      <c r="CR8" s="44"/>
      <c r="CS8" s="44"/>
      <c r="CT8" s="44"/>
      <c r="CU8" s="44"/>
      <c r="CV8" s="44"/>
      <c r="CW8" s="44"/>
      <c r="CX8" s="44"/>
      <c r="CY8" s="44"/>
      <c r="CZ8" s="48"/>
      <c r="DA8" s="44"/>
      <c r="DB8" s="44"/>
      <c r="DC8" s="44"/>
      <c r="DD8" s="45"/>
      <c r="DE8" s="73">
        <f t="shared" ref="DE8:DE71" si="2">SUM(E8:F8)-SUM(BY8:DD8)</f>
        <v>0</v>
      </c>
      <c r="DG8" s="47"/>
      <c r="DH8" s="48"/>
      <c r="DI8" s="50">
        <f t="shared" ref="DI8:DI71" si="3">SUM(DI7+DG8-DH8)</f>
        <v>3756.45</v>
      </c>
      <c r="DJ8" s="58"/>
      <c r="DK8" s="47"/>
      <c r="DL8" s="48"/>
      <c r="DM8" s="50">
        <f t="shared" ref="DM8:DM71" si="4">SUM(DM7+DK8-DL8)</f>
        <v>2673.42</v>
      </c>
      <c r="DN8" s="59"/>
      <c r="DO8" s="47"/>
      <c r="DP8" s="48"/>
      <c r="DQ8" s="50">
        <f t="shared" ref="DQ8:DQ71" si="5">SUM(DQ7+DO8-DP8)</f>
        <v>6212.69</v>
      </c>
      <c r="DR8" s="21"/>
      <c r="DS8" s="59"/>
      <c r="DT8" s="47"/>
      <c r="DU8" s="48"/>
      <c r="DV8" s="50">
        <f t="shared" ref="DV8:DV71" si="6">SUM(DV7+DT8-DU8)</f>
        <v>361.19</v>
      </c>
      <c r="DW8" s="21"/>
      <c r="DX8" s="22">
        <v>350</v>
      </c>
      <c r="DY8" s="16"/>
      <c r="DZ8" s="53">
        <f t="shared" ref="DZ8:DZ71" si="7">DZ7+DX8-DY8</f>
        <v>191.02</v>
      </c>
      <c r="EA8" s="15"/>
      <c r="EB8" s="22"/>
      <c r="EC8" s="16"/>
      <c r="ED8" s="53">
        <f t="shared" ref="ED8:ED71" si="8">ED7+EB8-EC8</f>
        <v>1031.31</v>
      </c>
      <c r="EE8" s="15"/>
      <c r="EF8" s="22"/>
      <c r="EG8" s="16"/>
      <c r="EH8" s="53">
        <f t="shared" ref="EH8:EH71" si="9">EH7+EF8-EG8</f>
        <v>1225</v>
      </c>
      <c r="EI8" s="15"/>
      <c r="EJ8" s="46"/>
      <c r="EK8" s="44"/>
      <c r="EL8" s="53">
        <f t="shared" ref="EL8:EL71" si="10">EL7+EJ8-EK8</f>
        <v>100</v>
      </c>
      <c r="EM8" s="15"/>
      <c r="EN8" s="51">
        <f t="shared" ref="EN8:EN71" si="11">G8-DI8-DM8-DQ8-DZ8-ED8-EH8-EL8-DV8</f>
        <v>1.4210854715202004E-12</v>
      </c>
      <c r="EP8" s="60">
        <f t="shared" ref="EP8:EP71" si="12">DH7-AS7-AX7-BD7-BI7-BN7-BS7</f>
        <v>0</v>
      </c>
      <c r="EQ8" s="61">
        <f t="shared" ref="EQ8:EQ71" si="13">+DL8-BT8-BO8-BJ8-BE8-AY8-AT8</f>
        <v>0</v>
      </c>
      <c r="ER8" s="15">
        <f t="shared" ref="ER8:ER71" si="14">+DP8-BU8-BP8-BK8-BF8-AZ8-AU8</f>
        <v>0</v>
      </c>
      <c r="ES8" s="62">
        <f t="shared" ref="ES8:ES39" si="15">+X8+Y8+Z8+AA8-BZ8-CA8-CB8-CC8</f>
        <v>0</v>
      </c>
      <c r="EU8" s="6">
        <v>2</v>
      </c>
    </row>
    <row r="9" spans="1:151" x14ac:dyDescent="0.45">
      <c r="A9" s="218">
        <v>45442</v>
      </c>
      <c r="B9" s="25" t="s">
        <v>765</v>
      </c>
      <c r="C9" s="8" t="s">
        <v>763</v>
      </c>
      <c r="D9" s="2"/>
      <c r="E9" s="48">
        <v>41</v>
      </c>
      <c r="F9" s="43">
        <f>2.03+0.82</f>
        <v>2.8499999999999996</v>
      </c>
      <c r="G9" s="44">
        <f t="shared" si="1"/>
        <v>15589.23</v>
      </c>
      <c r="H9" s="64" t="s">
        <v>625</v>
      </c>
      <c r="I9" s="47"/>
      <c r="J9" s="48"/>
      <c r="K9" s="48"/>
      <c r="L9" s="48"/>
      <c r="M9" s="48"/>
      <c r="N9" s="48"/>
      <c r="O9" s="48"/>
      <c r="P9" s="48"/>
      <c r="Q9" s="48"/>
      <c r="R9" s="48"/>
      <c r="S9" s="48"/>
      <c r="T9" s="48"/>
      <c r="U9" s="48"/>
      <c r="V9" s="48"/>
      <c r="W9" s="48"/>
      <c r="X9" s="48"/>
      <c r="Y9" s="48"/>
      <c r="Z9" s="48">
        <v>41</v>
      </c>
      <c r="AA9" s="48"/>
      <c r="AB9" s="48"/>
      <c r="AC9" s="48"/>
      <c r="AD9" s="48"/>
      <c r="AE9" s="48"/>
      <c r="AF9" s="48"/>
      <c r="AG9" s="48"/>
      <c r="AH9" s="48"/>
      <c r="AI9" s="48"/>
      <c r="AJ9" s="48"/>
      <c r="AK9" s="48"/>
      <c r="AL9" s="48"/>
      <c r="AM9" s="48"/>
      <c r="AN9" s="48"/>
      <c r="AO9" s="48"/>
      <c r="AP9" s="48"/>
      <c r="AQ9" s="48"/>
      <c r="AR9" s="50"/>
      <c r="AS9" s="47"/>
      <c r="AT9" s="48"/>
      <c r="AU9" s="48"/>
      <c r="AV9" s="48"/>
      <c r="AW9" s="48"/>
      <c r="AX9" s="48"/>
      <c r="AY9" s="48"/>
      <c r="AZ9" s="48">
        <v>2.85</v>
      </c>
      <c r="BA9" s="48"/>
      <c r="BB9" s="48"/>
      <c r="BC9" s="48"/>
      <c r="BD9" s="48"/>
      <c r="BE9" s="48"/>
      <c r="BF9" s="48"/>
      <c r="BG9" s="48"/>
      <c r="BH9" s="48"/>
      <c r="BI9" s="48"/>
      <c r="BJ9" s="48"/>
      <c r="BK9" s="48"/>
      <c r="BL9" s="48"/>
      <c r="BM9" s="48"/>
      <c r="BN9" s="48"/>
      <c r="BO9" s="48"/>
      <c r="BP9" s="48"/>
      <c r="BQ9" s="48"/>
      <c r="BR9" s="48"/>
      <c r="BS9" s="48"/>
      <c r="BT9" s="48"/>
      <c r="BU9" s="48"/>
      <c r="BV9" s="48"/>
      <c r="BW9" s="50"/>
      <c r="BX9" s="30">
        <f t="shared" si="0"/>
        <v>0</v>
      </c>
      <c r="BY9" s="47"/>
      <c r="BZ9" s="48"/>
      <c r="CA9" s="48">
        <v>41</v>
      </c>
      <c r="CB9" s="48"/>
      <c r="CC9" s="48"/>
      <c r="CD9" s="48"/>
      <c r="CE9" s="48"/>
      <c r="CF9" s="48"/>
      <c r="CG9" s="50"/>
      <c r="CH9" s="47"/>
      <c r="CI9" s="48"/>
      <c r="CJ9" s="48"/>
      <c r="CK9" s="48"/>
      <c r="CL9" s="48"/>
      <c r="CM9" s="48"/>
      <c r="CN9" s="48"/>
      <c r="CO9" s="48"/>
      <c r="CP9" s="48"/>
      <c r="CQ9" s="48"/>
      <c r="CR9" s="48"/>
      <c r="CS9" s="48"/>
      <c r="CT9" s="48"/>
      <c r="CU9" s="48"/>
      <c r="CV9" s="48"/>
      <c r="CW9" s="48"/>
      <c r="CX9" s="48"/>
      <c r="CY9" s="48"/>
      <c r="CZ9" s="2"/>
      <c r="DA9" s="2"/>
      <c r="DB9" s="48">
        <v>2.85</v>
      </c>
      <c r="DC9" s="48"/>
      <c r="DD9" s="50"/>
      <c r="DE9" s="73">
        <f t="shared" si="2"/>
        <v>0</v>
      </c>
      <c r="DF9" s="58"/>
      <c r="DG9" s="47"/>
      <c r="DH9" s="48"/>
      <c r="DI9" s="50">
        <f t="shared" si="3"/>
        <v>3756.45</v>
      </c>
      <c r="DJ9" s="58"/>
      <c r="DK9" s="47"/>
      <c r="DL9" s="48"/>
      <c r="DM9" s="50">
        <f t="shared" si="4"/>
        <v>2673.42</v>
      </c>
      <c r="DN9" s="58"/>
      <c r="DO9" s="47">
        <v>41</v>
      </c>
      <c r="DP9" s="48">
        <v>2.85</v>
      </c>
      <c r="DQ9" s="50">
        <f t="shared" si="5"/>
        <v>6250.8399999999992</v>
      </c>
      <c r="DR9" s="58"/>
      <c r="DS9" s="58"/>
      <c r="DT9" s="47"/>
      <c r="DU9" s="48"/>
      <c r="DV9" s="50">
        <f t="shared" si="6"/>
        <v>361.19</v>
      </c>
      <c r="DW9" s="58"/>
      <c r="DX9" s="47"/>
      <c r="DY9" s="48"/>
      <c r="DZ9" s="50">
        <f t="shared" si="7"/>
        <v>191.02</v>
      </c>
      <c r="EA9" s="58"/>
      <c r="EB9" s="47"/>
      <c r="EC9" s="48"/>
      <c r="ED9" s="50">
        <f t="shared" si="8"/>
        <v>1031.31</v>
      </c>
      <c r="EE9" s="58"/>
      <c r="EF9" s="47"/>
      <c r="EG9" s="48"/>
      <c r="EH9" s="50">
        <f t="shared" si="9"/>
        <v>1225</v>
      </c>
      <c r="EI9" s="74"/>
      <c r="EJ9" s="75"/>
      <c r="EK9" s="2"/>
      <c r="EL9" s="50">
        <f t="shared" si="10"/>
        <v>100</v>
      </c>
      <c r="EM9" s="74"/>
      <c r="EN9" s="51">
        <f t="shared" si="11"/>
        <v>0</v>
      </c>
      <c r="EO9" s="74"/>
      <c r="EP9" s="60">
        <f t="shared" si="12"/>
        <v>0</v>
      </c>
      <c r="EQ9" s="61">
        <f t="shared" si="13"/>
        <v>0</v>
      </c>
      <c r="ER9" s="15">
        <f t="shared" si="14"/>
        <v>0</v>
      </c>
      <c r="ES9" s="163">
        <f t="shared" si="15"/>
        <v>0</v>
      </c>
      <c r="ET9" s="74"/>
      <c r="EU9">
        <v>53</v>
      </c>
    </row>
    <row r="10" spans="1:151" x14ac:dyDescent="0.45">
      <c r="A10" s="218">
        <v>45576</v>
      </c>
      <c r="B10" s="25" t="s">
        <v>748</v>
      </c>
      <c r="C10" s="8" t="s">
        <v>854</v>
      </c>
      <c r="D10" s="2"/>
      <c r="E10" s="48">
        <v>90</v>
      </c>
      <c r="F10" s="43">
        <v>2.94</v>
      </c>
      <c r="G10" s="78">
        <f t="shared" si="1"/>
        <v>15676.289999999999</v>
      </c>
      <c r="H10" s="71" t="s">
        <v>625</v>
      </c>
      <c r="I10" s="47"/>
      <c r="J10" s="48"/>
      <c r="K10" s="48"/>
      <c r="L10" s="48"/>
      <c r="M10" s="48"/>
      <c r="N10" s="48"/>
      <c r="O10" s="48"/>
      <c r="P10" s="48"/>
      <c r="Q10" s="48"/>
      <c r="R10" s="48"/>
      <c r="S10" s="48"/>
      <c r="T10" s="48"/>
      <c r="U10" s="48"/>
      <c r="V10" s="48"/>
      <c r="W10" s="48"/>
      <c r="X10" s="48"/>
      <c r="Y10" s="48">
        <v>90</v>
      </c>
      <c r="Z10" s="48"/>
      <c r="AA10" s="48"/>
      <c r="AB10" s="48"/>
      <c r="AC10" s="48"/>
      <c r="AD10" s="48"/>
      <c r="AE10" s="48"/>
      <c r="AF10" s="48"/>
      <c r="AG10" s="48"/>
      <c r="AH10" s="48"/>
      <c r="AI10" s="48"/>
      <c r="AJ10" s="48"/>
      <c r="AK10" s="48"/>
      <c r="AL10" s="48"/>
      <c r="AM10" s="48"/>
      <c r="AN10" s="48"/>
      <c r="AO10" s="48"/>
      <c r="AP10" s="48"/>
      <c r="AQ10" s="48"/>
      <c r="AR10" s="50"/>
      <c r="AS10" s="47"/>
      <c r="AT10" s="48"/>
      <c r="AU10" s="48"/>
      <c r="AV10" s="48"/>
      <c r="AW10" s="48"/>
      <c r="AX10" s="48"/>
      <c r="AY10" s="48">
        <v>2.94</v>
      </c>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50"/>
      <c r="BX10" s="72">
        <f t="shared" si="0"/>
        <v>0</v>
      </c>
      <c r="BY10" s="47"/>
      <c r="BZ10" s="48">
        <v>90</v>
      </c>
      <c r="CA10" s="48"/>
      <c r="CB10" s="48"/>
      <c r="CC10" s="48"/>
      <c r="CD10" s="48"/>
      <c r="CE10" s="48"/>
      <c r="CF10" s="48"/>
      <c r="CG10" s="50"/>
      <c r="CH10" s="47"/>
      <c r="CI10" s="48"/>
      <c r="CJ10" s="48"/>
      <c r="CK10" s="79"/>
      <c r="CL10" s="48"/>
      <c r="CM10" s="48"/>
      <c r="CN10" s="48"/>
      <c r="CO10" s="48"/>
      <c r="CP10" s="48"/>
      <c r="CQ10" s="48"/>
      <c r="CR10" s="48"/>
      <c r="CS10" s="48"/>
      <c r="CT10" s="48"/>
      <c r="CU10" s="48"/>
      <c r="CV10" s="48"/>
      <c r="CW10" s="48"/>
      <c r="CX10" s="48"/>
      <c r="CY10" s="48"/>
      <c r="CZ10" s="2"/>
      <c r="DA10" s="2"/>
      <c r="DB10" s="48">
        <v>2.94</v>
      </c>
      <c r="DC10" s="48"/>
      <c r="DD10" s="50"/>
      <c r="DE10" s="73">
        <f t="shared" si="2"/>
        <v>0</v>
      </c>
      <c r="DF10" s="58"/>
      <c r="DG10" s="47"/>
      <c r="DH10" s="48"/>
      <c r="DI10" s="50">
        <f t="shared" si="3"/>
        <v>3756.45</v>
      </c>
      <c r="DJ10" s="58"/>
      <c r="DK10" s="47">
        <v>90</v>
      </c>
      <c r="DL10" s="48">
        <v>2.94</v>
      </c>
      <c r="DM10" s="53">
        <f t="shared" si="4"/>
        <v>2760.48</v>
      </c>
      <c r="DN10" s="58"/>
      <c r="DO10" s="47"/>
      <c r="DP10" s="48"/>
      <c r="DQ10" s="50">
        <f t="shared" si="5"/>
        <v>6250.8399999999992</v>
      </c>
      <c r="DR10" s="58"/>
      <c r="DS10" s="58"/>
      <c r="DT10" s="47"/>
      <c r="DU10" s="48"/>
      <c r="DV10" s="50">
        <f t="shared" si="6"/>
        <v>361.19</v>
      </c>
      <c r="DW10" s="58"/>
      <c r="DX10" s="47"/>
      <c r="DY10" s="48"/>
      <c r="DZ10" s="50">
        <f t="shared" si="7"/>
        <v>191.02</v>
      </c>
      <c r="EA10" s="58"/>
      <c r="EB10" s="47"/>
      <c r="EC10" s="48"/>
      <c r="ED10" s="50">
        <f t="shared" si="8"/>
        <v>1031.31</v>
      </c>
      <c r="EE10" s="58"/>
      <c r="EF10" s="47"/>
      <c r="EG10" s="48"/>
      <c r="EH10" s="50">
        <f t="shared" si="9"/>
        <v>1225</v>
      </c>
      <c r="EI10" s="74"/>
      <c r="EJ10" s="75"/>
      <c r="EK10" s="2"/>
      <c r="EL10" s="50">
        <f t="shared" si="10"/>
        <v>100</v>
      </c>
      <c r="EM10" s="74"/>
      <c r="EN10" s="51">
        <f t="shared" si="11"/>
        <v>1.4210854715202004E-12</v>
      </c>
      <c r="EO10" s="74"/>
      <c r="EP10" s="60">
        <f t="shared" si="12"/>
        <v>0</v>
      </c>
      <c r="EQ10" s="76">
        <f t="shared" si="13"/>
        <v>0</v>
      </c>
      <c r="ER10" s="15">
        <f t="shared" si="14"/>
        <v>0</v>
      </c>
      <c r="ES10" s="62">
        <f t="shared" si="15"/>
        <v>0</v>
      </c>
      <c r="ET10" s="74"/>
      <c r="EU10" s="6">
        <v>150</v>
      </c>
    </row>
    <row r="11" spans="1:151" x14ac:dyDescent="0.45">
      <c r="A11" s="69">
        <v>45601</v>
      </c>
      <c r="B11" s="70" t="s">
        <v>870</v>
      </c>
      <c r="C11" s="8" t="s">
        <v>635</v>
      </c>
      <c r="D11" s="2"/>
      <c r="E11" s="48"/>
      <c r="F11" s="48">
        <v>148</v>
      </c>
      <c r="G11" s="44">
        <f t="shared" si="1"/>
        <v>15528.289999999999</v>
      </c>
      <c r="H11" s="71" t="s">
        <v>625</v>
      </c>
      <c r="I11" s="47"/>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50"/>
      <c r="AS11" s="47"/>
      <c r="AT11" s="48"/>
      <c r="AU11" s="48"/>
      <c r="AV11" s="48"/>
      <c r="AW11" s="48"/>
      <c r="AX11" s="48">
        <v>49.34</v>
      </c>
      <c r="AY11" s="48">
        <v>49.33</v>
      </c>
      <c r="AZ11" s="48">
        <v>49.33</v>
      </c>
      <c r="BA11" s="48"/>
      <c r="BB11" s="48"/>
      <c r="BC11" s="48"/>
      <c r="BD11" s="48"/>
      <c r="BE11" s="48"/>
      <c r="BF11" s="48"/>
      <c r="BG11" s="48"/>
      <c r="BH11" s="48"/>
      <c r="BI11" s="48"/>
      <c r="BJ11" s="48"/>
      <c r="BK11" s="48"/>
      <c r="BL11" s="48"/>
      <c r="BM11" s="48"/>
      <c r="BN11" s="48"/>
      <c r="BO11" s="48"/>
      <c r="BP11" s="48"/>
      <c r="BQ11" s="48"/>
      <c r="BR11" s="48"/>
      <c r="BS11" s="48"/>
      <c r="BT11" s="48"/>
      <c r="BU11" s="48"/>
      <c r="BV11" s="48"/>
      <c r="BW11" s="50"/>
      <c r="BX11" s="72">
        <f t="shared" si="0"/>
        <v>0</v>
      </c>
      <c r="BY11" s="47"/>
      <c r="BZ11" s="48"/>
      <c r="CA11" s="48"/>
      <c r="CB11" s="48"/>
      <c r="CC11" s="48"/>
      <c r="CD11" s="48"/>
      <c r="CE11" s="48"/>
      <c r="CF11" s="48"/>
      <c r="CG11" s="50"/>
      <c r="CH11" s="47"/>
      <c r="CI11" s="48"/>
      <c r="CJ11" s="48"/>
      <c r="CK11" s="48">
        <v>148</v>
      </c>
      <c r="CL11" s="48"/>
      <c r="CM11" s="48"/>
      <c r="CN11" s="48"/>
      <c r="CO11" s="48"/>
      <c r="CP11" s="48"/>
      <c r="CQ11" s="48"/>
      <c r="CR11" s="48"/>
      <c r="CS11" s="48"/>
      <c r="CT11" s="48"/>
      <c r="CU11" s="48"/>
      <c r="CV11" s="48"/>
      <c r="CW11" s="48"/>
      <c r="CX11" s="48"/>
      <c r="CY11" s="48"/>
      <c r="CZ11" s="2"/>
      <c r="DA11" s="2"/>
      <c r="DB11" s="48"/>
      <c r="DC11" s="48"/>
      <c r="DD11" s="50"/>
      <c r="DE11" s="73">
        <f t="shared" si="2"/>
        <v>0</v>
      </c>
      <c r="DF11" s="58"/>
      <c r="DG11" s="47"/>
      <c r="DH11" s="48">
        <v>49.34</v>
      </c>
      <c r="DI11" s="50">
        <f t="shared" si="3"/>
        <v>3707.1099999999997</v>
      </c>
      <c r="DJ11" s="58"/>
      <c r="DK11" s="47"/>
      <c r="DL11" s="48">
        <v>49.33</v>
      </c>
      <c r="DM11" s="50">
        <f t="shared" si="4"/>
        <v>2711.15</v>
      </c>
      <c r="DN11" s="58"/>
      <c r="DO11" s="47"/>
      <c r="DP11" s="48">
        <v>49.33</v>
      </c>
      <c r="DQ11" s="50">
        <f t="shared" si="5"/>
        <v>6201.5099999999993</v>
      </c>
      <c r="DR11" s="58"/>
      <c r="DS11" s="58"/>
      <c r="DT11" s="47"/>
      <c r="DU11" s="48"/>
      <c r="DV11" s="50">
        <f t="shared" si="6"/>
        <v>361.19</v>
      </c>
      <c r="DW11" s="58"/>
      <c r="DX11" s="47"/>
      <c r="DY11" s="48"/>
      <c r="DZ11" s="50">
        <f t="shared" si="7"/>
        <v>191.02</v>
      </c>
      <c r="EA11" s="58"/>
      <c r="EB11" s="47"/>
      <c r="EC11" s="48"/>
      <c r="ED11" s="50">
        <f t="shared" si="8"/>
        <v>1031.31</v>
      </c>
      <c r="EE11" s="58"/>
      <c r="EF11" s="47"/>
      <c r="EG11" s="48"/>
      <c r="EH11" s="50">
        <f t="shared" si="9"/>
        <v>1225</v>
      </c>
      <c r="EI11" s="74"/>
      <c r="EJ11" s="75"/>
      <c r="EK11" s="2"/>
      <c r="EL11" s="50">
        <f t="shared" si="10"/>
        <v>100</v>
      </c>
      <c r="EM11" s="74"/>
      <c r="EN11" s="73">
        <f t="shared" si="11"/>
        <v>1.4210854715202004E-12</v>
      </c>
      <c r="EO11" s="74"/>
      <c r="EP11" s="60">
        <f t="shared" si="12"/>
        <v>0</v>
      </c>
      <c r="EQ11" s="76">
        <f t="shared" si="13"/>
        <v>0</v>
      </c>
      <c r="ER11" s="58">
        <f t="shared" si="14"/>
        <v>0</v>
      </c>
      <c r="ES11" s="62">
        <f t="shared" si="15"/>
        <v>0</v>
      </c>
      <c r="ET11" s="74"/>
      <c r="EU11" s="6">
        <v>166</v>
      </c>
    </row>
    <row r="12" spans="1:151" x14ac:dyDescent="0.45">
      <c r="A12" s="220">
        <v>45684</v>
      </c>
      <c r="B12" s="7" t="s">
        <v>924</v>
      </c>
      <c r="C12" s="223" t="s">
        <v>633</v>
      </c>
      <c r="D12" s="2"/>
      <c r="E12" s="7">
        <v>41.73</v>
      </c>
      <c r="F12" s="43"/>
      <c r="G12" s="78">
        <f t="shared" si="1"/>
        <v>15570.019999999999</v>
      </c>
      <c r="H12" s="64" t="s">
        <v>625</v>
      </c>
      <c r="I12" s="47"/>
      <c r="J12" s="48"/>
      <c r="K12" s="48"/>
      <c r="L12" s="48"/>
      <c r="M12" s="48"/>
      <c r="N12" s="48"/>
      <c r="O12" s="48"/>
      <c r="P12" s="48"/>
      <c r="Q12" s="48"/>
      <c r="R12" s="48"/>
      <c r="S12" s="48"/>
      <c r="T12" s="48"/>
      <c r="U12" s="48"/>
      <c r="V12" s="48"/>
      <c r="W12" s="48"/>
      <c r="X12" s="48"/>
      <c r="Y12" s="48">
        <v>41.73</v>
      </c>
      <c r="Z12" s="48"/>
      <c r="AA12" s="48"/>
      <c r="AB12" s="48"/>
      <c r="AC12" s="48"/>
      <c r="AD12" s="48"/>
      <c r="AE12" s="48"/>
      <c r="AF12" s="48"/>
      <c r="AG12" s="48"/>
      <c r="AH12" s="48"/>
      <c r="AI12" s="48"/>
      <c r="AJ12" s="48"/>
      <c r="AK12" s="48"/>
      <c r="AL12" s="48"/>
      <c r="AM12" s="48"/>
      <c r="AN12" s="48"/>
      <c r="AO12" s="48"/>
      <c r="AP12" s="48"/>
      <c r="AQ12" s="48"/>
      <c r="AR12" s="50"/>
      <c r="AS12" s="47"/>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50"/>
      <c r="BX12" s="72">
        <f t="shared" si="0"/>
        <v>0</v>
      </c>
      <c r="BY12" s="52">
        <f>SUM(I12:M12)</f>
        <v>0</v>
      </c>
      <c r="BZ12" s="48">
        <f>E12</f>
        <v>41.73</v>
      </c>
      <c r="CA12" s="48"/>
      <c r="CB12" s="48"/>
      <c r="CC12" s="48"/>
      <c r="CD12" s="48"/>
      <c r="CE12" s="48"/>
      <c r="CF12" s="48"/>
      <c r="CG12" s="50"/>
      <c r="CH12" s="47"/>
      <c r="CI12" s="48"/>
      <c r="CJ12" s="48"/>
      <c r="CK12" s="48"/>
      <c r="CL12" s="48"/>
      <c r="CM12" s="48"/>
      <c r="CN12" s="48"/>
      <c r="CO12" s="48"/>
      <c r="CP12" s="48"/>
      <c r="CQ12" s="48"/>
      <c r="CR12" s="48"/>
      <c r="CS12" s="48"/>
      <c r="CT12" s="48"/>
      <c r="CU12" s="48"/>
      <c r="CV12" s="48"/>
      <c r="CW12" s="48"/>
      <c r="CX12" s="48"/>
      <c r="CY12" s="48"/>
      <c r="CZ12" s="2"/>
      <c r="DA12" s="2"/>
      <c r="DB12" s="48"/>
      <c r="DC12" s="48"/>
      <c r="DD12" s="50"/>
      <c r="DE12" s="73">
        <f t="shared" si="2"/>
        <v>0</v>
      </c>
      <c r="DF12" s="58"/>
      <c r="DG12" s="47"/>
      <c r="DH12" s="48"/>
      <c r="DI12" s="50">
        <f t="shared" si="3"/>
        <v>3707.1099999999997</v>
      </c>
      <c r="DJ12" s="58"/>
      <c r="DK12" s="47"/>
      <c r="DL12" s="48"/>
      <c r="DM12" s="50">
        <f t="shared" si="4"/>
        <v>2711.15</v>
      </c>
      <c r="DN12" s="58"/>
      <c r="DO12" s="47"/>
      <c r="DP12" s="48"/>
      <c r="DQ12" s="50">
        <f t="shared" si="5"/>
        <v>6201.5099999999993</v>
      </c>
      <c r="DR12" s="58"/>
      <c r="DS12" s="58"/>
      <c r="DT12" s="47"/>
      <c r="DU12" s="48"/>
      <c r="DV12" s="50">
        <f t="shared" si="6"/>
        <v>361.19</v>
      </c>
      <c r="DW12" s="58"/>
      <c r="DX12" s="47"/>
      <c r="DY12" s="48"/>
      <c r="DZ12" s="50">
        <f t="shared" si="7"/>
        <v>191.02</v>
      </c>
      <c r="EA12" s="58"/>
      <c r="EB12" s="47"/>
      <c r="EC12" s="48"/>
      <c r="ED12" s="50">
        <f t="shared" si="8"/>
        <v>1031.31</v>
      </c>
      <c r="EE12" s="58"/>
      <c r="EF12" s="47"/>
      <c r="EG12" s="48"/>
      <c r="EH12" s="50">
        <f t="shared" si="9"/>
        <v>1225</v>
      </c>
      <c r="EI12" s="74"/>
      <c r="EJ12" s="75"/>
      <c r="EK12" s="2"/>
      <c r="EL12" s="50">
        <f t="shared" si="10"/>
        <v>100</v>
      </c>
      <c r="EM12" s="74"/>
      <c r="EN12" s="51">
        <f t="shared" si="11"/>
        <v>41.730000000000985</v>
      </c>
      <c r="EO12" s="74"/>
      <c r="EP12" s="60">
        <f t="shared" si="12"/>
        <v>0</v>
      </c>
      <c r="EQ12" s="76">
        <f t="shared" si="13"/>
        <v>0</v>
      </c>
      <c r="ER12" s="15">
        <f t="shared" si="14"/>
        <v>0</v>
      </c>
      <c r="ES12" s="163">
        <f t="shared" si="15"/>
        <v>0</v>
      </c>
      <c r="ET12" s="74"/>
      <c r="EU12">
        <v>223</v>
      </c>
    </row>
    <row r="13" spans="1:151" x14ac:dyDescent="0.45">
      <c r="A13" s="220">
        <v>45720</v>
      </c>
      <c r="B13" s="7" t="s">
        <v>984</v>
      </c>
      <c r="C13" s="223" t="s">
        <v>642</v>
      </c>
      <c r="D13" s="2"/>
      <c r="E13" s="48"/>
      <c r="F13" s="43">
        <v>5828</v>
      </c>
      <c r="G13" s="78">
        <f t="shared" si="1"/>
        <v>9742.0199999999986</v>
      </c>
      <c r="H13" s="64" t="s">
        <v>625</v>
      </c>
      <c r="I13" s="47"/>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50"/>
      <c r="AS13" s="47"/>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v>5828</v>
      </c>
      <c r="BW13" s="50"/>
      <c r="BX13" s="72">
        <f t="shared" si="0"/>
        <v>0</v>
      </c>
      <c r="BY13" s="52">
        <f>SUM(I13:M13)</f>
        <v>0</v>
      </c>
      <c r="BZ13" s="48"/>
      <c r="CA13" s="48"/>
      <c r="CB13" s="48"/>
      <c r="CC13" s="48"/>
      <c r="CD13" s="48"/>
      <c r="CE13" s="48"/>
      <c r="CF13" s="48"/>
      <c r="CG13" s="50"/>
      <c r="CH13" s="47"/>
      <c r="CI13" s="48"/>
      <c r="CJ13" s="48"/>
      <c r="CK13" s="48"/>
      <c r="CL13" s="48"/>
      <c r="CM13" s="48">
        <f>F13</f>
        <v>5828</v>
      </c>
      <c r="CN13" s="48"/>
      <c r="CO13" s="48"/>
      <c r="CP13" s="48"/>
      <c r="CQ13" s="48"/>
      <c r="CR13" s="48"/>
      <c r="CS13" s="48"/>
      <c r="CT13" s="48"/>
      <c r="CU13" s="48"/>
      <c r="CV13" s="48"/>
      <c r="CW13" s="48"/>
      <c r="CX13" s="48"/>
      <c r="CY13" s="48"/>
      <c r="CZ13" s="2"/>
      <c r="DA13" s="2"/>
      <c r="DB13" s="48"/>
      <c r="DC13" s="48"/>
      <c r="DD13" s="50"/>
      <c r="DE13" s="73">
        <f t="shared" si="2"/>
        <v>0</v>
      </c>
      <c r="DF13" s="58"/>
      <c r="DG13" s="47"/>
      <c r="DH13" s="48"/>
      <c r="DI13" s="50">
        <f t="shared" si="3"/>
        <v>3707.1099999999997</v>
      </c>
      <c r="DJ13" s="58"/>
      <c r="DK13" s="47"/>
      <c r="DL13" s="48"/>
      <c r="DM13" s="50">
        <f t="shared" si="4"/>
        <v>2711.15</v>
      </c>
      <c r="DN13" s="58"/>
      <c r="DO13" s="47"/>
      <c r="DP13" s="48"/>
      <c r="DQ13" s="50">
        <f t="shared" si="5"/>
        <v>6201.5099999999993</v>
      </c>
      <c r="DR13" s="58"/>
      <c r="DS13" s="58"/>
      <c r="DT13" s="47"/>
      <c r="DU13" s="48"/>
      <c r="DV13" s="50">
        <f t="shared" si="6"/>
        <v>361.19</v>
      </c>
      <c r="DW13" s="58"/>
      <c r="DX13" s="47"/>
      <c r="DY13" s="48"/>
      <c r="DZ13" s="50">
        <f t="shared" si="7"/>
        <v>191.02</v>
      </c>
      <c r="EA13" s="58"/>
      <c r="EB13" s="47"/>
      <c r="EC13" s="48"/>
      <c r="ED13" s="50">
        <f t="shared" si="8"/>
        <v>1031.31</v>
      </c>
      <c r="EE13" s="58"/>
      <c r="EF13" s="47"/>
      <c r="EG13" s="48"/>
      <c r="EH13" s="50">
        <f t="shared" si="9"/>
        <v>1225</v>
      </c>
      <c r="EI13" s="74"/>
      <c r="EJ13" s="75"/>
      <c r="EK13" s="2"/>
      <c r="EL13" s="50">
        <f t="shared" si="10"/>
        <v>100</v>
      </c>
      <c r="EM13" s="74"/>
      <c r="EN13" s="51">
        <f t="shared" si="11"/>
        <v>-5786.2699999999995</v>
      </c>
      <c r="EO13" s="74"/>
      <c r="EP13" s="60">
        <f t="shared" si="12"/>
        <v>0</v>
      </c>
      <c r="EQ13" s="76">
        <f t="shared" si="13"/>
        <v>0</v>
      </c>
      <c r="ER13" s="15">
        <f t="shared" si="14"/>
        <v>0</v>
      </c>
      <c r="ES13" s="163">
        <f t="shared" si="15"/>
        <v>0</v>
      </c>
      <c r="ET13" t="s">
        <v>1005</v>
      </c>
      <c r="EU13">
        <v>283</v>
      </c>
    </row>
    <row r="14" spans="1:151" x14ac:dyDescent="0.45">
      <c r="A14" s="150">
        <v>45397</v>
      </c>
      <c r="B14" s="63" t="s">
        <v>688</v>
      </c>
      <c r="C14" s="10" t="s">
        <v>186</v>
      </c>
      <c r="D14" s="7"/>
      <c r="E14" s="43"/>
      <c r="F14" s="43">
        <v>2128.1999999999998</v>
      </c>
      <c r="G14" s="16">
        <f t="shared" si="1"/>
        <v>7613.8199999999988</v>
      </c>
      <c r="H14" s="64" t="s">
        <v>625</v>
      </c>
      <c r="I14" s="52"/>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53"/>
      <c r="AS14" s="52"/>
      <c r="AT14" s="43"/>
      <c r="AU14" s="43"/>
      <c r="AV14" s="43"/>
      <c r="AW14" s="43"/>
      <c r="AX14" s="43"/>
      <c r="AY14" s="43">
        <v>1096.8900000000001</v>
      </c>
      <c r="AZ14" s="43"/>
      <c r="BA14" s="43"/>
      <c r="BB14" s="43">
        <v>1031.31</v>
      </c>
      <c r="BC14" s="43"/>
      <c r="BD14" s="43"/>
      <c r="BE14" s="43"/>
      <c r="BF14" s="43"/>
      <c r="BG14" s="43"/>
      <c r="BH14" s="43"/>
      <c r="BI14" s="43"/>
      <c r="BJ14" s="43"/>
      <c r="BK14" s="43"/>
      <c r="BL14" s="43"/>
      <c r="BM14" s="43"/>
      <c r="BN14" s="43"/>
      <c r="BO14" s="43"/>
      <c r="BP14" s="43"/>
      <c r="BQ14" s="43"/>
      <c r="BR14" s="43"/>
      <c r="BS14" s="43"/>
      <c r="BT14" s="43"/>
      <c r="BU14" s="43"/>
      <c r="BV14" s="43"/>
      <c r="BW14" s="53"/>
      <c r="BX14" s="30">
        <f t="shared" si="0"/>
        <v>0</v>
      </c>
      <c r="BY14" s="52"/>
      <c r="BZ14" s="43"/>
      <c r="CA14" s="43"/>
      <c r="CB14" s="43"/>
      <c r="CC14" s="43"/>
      <c r="CD14" s="43"/>
      <c r="CE14" s="43"/>
      <c r="CF14" s="43"/>
      <c r="CG14" s="53"/>
      <c r="CH14" s="52"/>
      <c r="CI14" s="43"/>
      <c r="CJ14" s="43"/>
      <c r="CK14" s="43"/>
      <c r="CL14" s="43"/>
      <c r="CM14" s="43"/>
      <c r="CN14" s="43"/>
      <c r="CO14" s="43"/>
      <c r="CP14" s="43">
        <v>2128.1999999999998</v>
      </c>
      <c r="CQ14" s="43"/>
      <c r="CR14" s="43"/>
      <c r="CS14" s="43"/>
      <c r="CT14" s="43"/>
      <c r="CU14" s="43"/>
      <c r="CV14" s="43"/>
      <c r="CW14" s="43"/>
      <c r="CX14" s="43"/>
      <c r="CY14" s="43"/>
      <c r="CZ14" s="7"/>
      <c r="DA14" s="7"/>
      <c r="DB14" s="43"/>
      <c r="DC14" s="43"/>
      <c r="DD14" s="53"/>
      <c r="DE14" s="73">
        <f t="shared" si="2"/>
        <v>0</v>
      </c>
      <c r="DG14" s="52"/>
      <c r="DH14" s="43"/>
      <c r="DI14" s="53">
        <f t="shared" si="3"/>
        <v>3707.1099999999997</v>
      </c>
      <c r="DK14" s="52"/>
      <c r="DL14" s="43">
        <f>1128.2-31.31</f>
        <v>1096.8900000000001</v>
      </c>
      <c r="DM14" s="53">
        <f t="shared" si="4"/>
        <v>1614.26</v>
      </c>
      <c r="DO14" s="52"/>
      <c r="DP14" s="43"/>
      <c r="DQ14" s="53">
        <f t="shared" si="5"/>
        <v>6201.5099999999993</v>
      </c>
      <c r="DT14" s="52"/>
      <c r="DU14" s="43"/>
      <c r="DV14" s="53">
        <f t="shared" si="6"/>
        <v>361.19</v>
      </c>
      <c r="DX14" s="52"/>
      <c r="DY14" s="43"/>
      <c r="DZ14" s="53">
        <f t="shared" si="7"/>
        <v>191.02</v>
      </c>
      <c r="EB14" s="52"/>
      <c r="EC14" s="43">
        <v>1031.31</v>
      </c>
      <c r="ED14" s="53">
        <f t="shared" si="8"/>
        <v>0</v>
      </c>
      <c r="EF14" s="52"/>
      <c r="EG14" s="43"/>
      <c r="EH14" s="53">
        <f t="shared" si="9"/>
        <v>1225</v>
      </c>
      <c r="EJ14" s="65"/>
      <c r="EK14" s="7"/>
      <c r="EL14" s="53">
        <f t="shared" si="10"/>
        <v>100</v>
      </c>
      <c r="EN14" s="51">
        <f t="shared" si="11"/>
        <v>-5786.27</v>
      </c>
      <c r="EP14" s="162">
        <f t="shared" si="12"/>
        <v>0</v>
      </c>
      <c r="EQ14" s="61">
        <f t="shared" si="13"/>
        <v>0</v>
      </c>
      <c r="ER14" s="15">
        <f t="shared" si="14"/>
        <v>0</v>
      </c>
      <c r="ES14" s="163">
        <f t="shared" si="15"/>
        <v>0</v>
      </c>
      <c r="ET14" t="s">
        <v>1005</v>
      </c>
      <c r="EU14">
        <v>3</v>
      </c>
    </row>
    <row r="15" spans="1:151" x14ac:dyDescent="0.45">
      <c r="A15" s="150">
        <v>45397</v>
      </c>
      <c r="B15" s="63" t="s">
        <v>687</v>
      </c>
      <c r="C15" s="10" t="s">
        <v>617</v>
      </c>
      <c r="D15" s="7"/>
      <c r="E15" s="43"/>
      <c r="F15" s="43">
        <v>99.95</v>
      </c>
      <c r="G15" s="16">
        <f t="shared" si="1"/>
        <v>7513.869999999999</v>
      </c>
      <c r="H15" s="64" t="s">
        <v>625</v>
      </c>
      <c r="I15" s="52"/>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53"/>
      <c r="AS15" s="52"/>
      <c r="AT15" s="43"/>
      <c r="AU15" s="43"/>
      <c r="AV15" s="43"/>
      <c r="AW15" s="43"/>
      <c r="AX15" s="43"/>
      <c r="AY15" s="43">
        <v>99.95</v>
      </c>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53"/>
      <c r="BX15" s="30">
        <f t="shared" si="0"/>
        <v>0</v>
      </c>
      <c r="BY15" s="52"/>
      <c r="BZ15" s="43"/>
      <c r="CA15" s="43"/>
      <c r="CB15" s="43"/>
      <c r="CC15" s="43"/>
      <c r="CD15" s="43"/>
      <c r="CE15" s="43"/>
      <c r="CF15" s="43"/>
      <c r="CG15" s="53"/>
      <c r="CH15" s="52"/>
      <c r="CI15" s="43"/>
      <c r="CJ15" s="43"/>
      <c r="CK15" s="43"/>
      <c r="CL15" s="43"/>
      <c r="CM15" s="43"/>
      <c r="CN15" s="43"/>
      <c r="CO15" s="43"/>
      <c r="CP15" s="43">
        <v>99.95</v>
      </c>
      <c r="CQ15" s="43"/>
      <c r="CR15" s="43"/>
      <c r="CS15" s="43"/>
      <c r="CT15" s="43"/>
      <c r="CU15" s="43"/>
      <c r="CV15" s="43"/>
      <c r="CW15" s="43"/>
      <c r="CX15" s="43"/>
      <c r="CY15" s="43"/>
      <c r="CZ15" s="7"/>
      <c r="DA15" s="7"/>
      <c r="DB15" s="43"/>
      <c r="DC15" s="43"/>
      <c r="DD15" s="53"/>
      <c r="DE15" s="73">
        <f t="shared" si="2"/>
        <v>0</v>
      </c>
      <c r="DG15" s="52"/>
      <c r="DH15" s="43"/>
      <c r="DI15" s="50">
        <f t="shared" si="3"/>
        <v>3707.1099999999997</v>
      </c>
      <c r="DK15" s="52"/>
      <c r="DL15" s="43">
        <v>99.95</v>
      </c>
      <c r="DM15" s="50">
        <f t="shared" si="4"/>
        <v>1514.31</v>
      </c>
      <c r="DO15" s="52"/>
      <c r="DP15" s="43"/>
      <c r="DQ15" s="50">
        <f t="shared" si="5"/>
        <v>6201.5099999999993</v>
      </c>
      <c r="DT15" s="52"/>
      <c r="DU15" s="43"/>
      <c r="DV15" s="50">
        <f t="shared" si="6"/>
        <v>361.19</v>
      </c>
      <c r="DX15" s="52"/>
      <c r="DY15" s="43"/>
      <c r="DZ15" s="53">
        <f t="shared" si="7"/>
        <v>191.02</v>
      </c>
      <c r="EB15" s="52"/>
      <c r="EC15" s="43"/>
      <c r="ED15" s="53">
        <f t="shared" si="8"/>
        <v>0</v>
      </c>
      <c r="EF15" s="52"/>
      <c r="EG15" s="43"/>
      <c r="EH15" s="53">
        <f t="shared" si="9"/>
        <v>1225</v>
      </c>
      <c r="EJ15" s="65"/>
      <c r="EK15" s="7"/>
      <c r="EL15" s="53">
        <f t="shared" si="10"/>
        <v>100</v>
      </c>
      <c r="EN15" s="51">
        <f t="shared" si="11"/>
        <v>-5786.2699999999995</v>
      </c>
      <c r="EP15" s="60">
        <f t="shared" si="12"/>
        <v>0</v>
      </c>
      <c r="EQ15" s="61">
        <f t="shared" si="13"/>
        <v>0</v>
      </c>
      <c r="ER15" s="15">
        <f t="shared" si="14"/>
        <v>0</v>
      </c>
      <c r="ES15" s="62">
        <f t="shared" si="15"/>
        <v>0</v>
      </c>
      <c r="EU15" s="6">
        <v>4</v>
      </c>
    </row>
    <row r="16" spans="1:151" x14ac:dyDescent="0.45">
      <c r="A16" s="67">
        <v>45411</v>
      </c>
      <c r="B16" s="25" t="s">
        <v>720</v>
      </c>
      <c r="C16" s="10" t="s">
        <v>678</v>
      </c>
      <c r="D16" s="7"/>
      <c r="E16" s="43">
        <v>562.5</v>
      </c>
      <c r="F16" s="43">
        <f>7.8+10.95</f>
        <v>18.75</v>
      </c>
      <c r="G16" s="16">
        <f t="shared" si="1"/>
        <v>8057.619999999999</v>
      </c>
      <c r="H16" s="64" t="s">
        <v>625</v>
      </c>
      <c r="I16" s="52"/>
      <c r="J16" s="43"/>
      <c r="K16" s="43"/>
      <c r="L16" s="43"/>
      <c r="M16" s="43"/>
      <c r="N16" s="43"/>
      <c r="O16" s="43"/>
      <c r="P16" s="43"/>
      <c r="Q16" s="43"/>
      <c r="R16" s="43"/>
      <c r="S16" s="43"/>
      <c r="T16" s="43"/>
      <c r="U16" s="43"/>
      <c r="V16" s="43"/>
      <c r="W16" s="43"/>
      <c r="X16" s="43"/>
      <c r="Y16" s="43">
        <v>562.5</v>
      </c>
      <c r="Z16" s="43"/>
      <c r="AA16" s="43"/>
      <c r="AB16" s="43"/>
      <c r="AC16" s="43"/>
      <c r="AD16" s="43"/>
      <c r="AE16" s="43"/>
      <c r="AF16" s="43"/>
      <c r="AG16" s="43"/>
      <c r="AH16" s="43"/>
      <c r="AI16" s="43"/>
      <c r="AJ16" s="43"/>
      <c r="AK16" s="43"/>
      <c r="AL16" s="43"/>
      <c r="AM16" s="43"/>
      <c r="AN16" s="43"/>
      <c r="AO16" s="43"/>
      <c r="AP16" s="43"/>
      <c r="AQ16" s="43"/>
      <c r="AR16" s="53"/>
      <c r="AS16" s="52"/>
      <c r="AT16" s="43"/>
      <c r="AU16" s="43"/>
      <c r="AV16" s="43"/>
      <c r="AW16" s="43"/>
      <c r="AX16" s="43"/>
      <c r="AY16" s="43">
        <v>18.75</v>
      </c>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53"/>
      <c r="BX16" s="30">
        <f t="shared" si="0"/>
        <v>0</v>
      </c>
      <c r="BY16" s="52"/>
      <c r="BZ16" s="43"/>
      <c r="CA16" s="43">
        <v>562.5</v>
      </c>
      <c r="CB16" s="43"/>
      <c r="CC16" s="43"/>
      <c r="CD16" s="43"/>
      <c r="CE16" s="43"/>
      <c r="CF16" s="43"/>
      <c r="CG16" s="53"/>
      <c r="CH16" s="52"/>
      <c r="CI16" s="43"/>
      <c r="CJ16" s="43"/>
      <c r="CK16" s="43"/>
      <c r="CL16" s="43"/>
      <c r="CM16" s="43"/>
      <c r="CN16" s="43"/>
      <c r="CO16" s="43"/>
      <c r="CP16" s="43"/>
      <c r="CQ16" s="43"/>
      <c r="CR16" s="43"/>
      <c r="CS16" s="43"/>
      <c r="CT16" s="43"/>
      <c r="CU16" s="43"/>
      <c r="CV16" s="43"/>
      <c r="CW16" s="43"/>
      <c r="CX16" s="43"/>
      <c r="CY16" s="43"/>
      <c r="CZ16" s="7"/>
      <c r="DA16" s="7"/>
      <c r="DB16" s="43">
        <v>18.75</v>
      </c>
      <c r="DC16" s="43"/>
      <c r="DD16" s="53"/>
      <c r="DE16" s="73">
        <f t="shared" si="2"/>
        <v>0</v>
      </c>
      <c r="DG16" s="52"/>
      <c r="DH16" s="43"/>
      <c r="DI16" s="50">
        <f t="shared" si="3"/>
        <v>3707.1099999999997</v>
      </c>
      <c r="DK16" s="52">
        <v>562.5</v>
      </c>
      <c r="DL16" s="43">
        <v>18.75</v>
      </c>
      <c r="DM16" s="50">
        <f t="shared" si="4"/>
        <v>2058.06</v>
      </c>
      <c r="DO16" s="52"/>
      <c r="DP16" s="43"/>
      <c r="DQ16" s="50">
        <f t="shared" si="5"/>
        <v>6201.5099999999993</v>
      </c>
      <c r="DT16" s="52"/>
      <c r="DU16" s="43"/>
      <c r="DV16" s="50">
        <f t="shared" si="6"/>
        <v>361.19</v>
      </c>
      <c r="DX16" s="52"/>
      <c r="DY16" s="43"/>
      <c r="DZ16" s="53">
        <f t="shared" si="7"/>
        <v>191.02</v>
      </c>
      <c r="EB16" s="52"/>
      <c r="EC16" s="43"/>
      <c r="ED16" s="53">
        <f t="shared" si="8"/>
        <v>0</v>
      </c>
      <c r="EF16" s="52"/>
      <c r="EG16" s="43"/>
      <c r="EH16" s="53">
        <f t="shared" si="9"/>
        <v>1225</v>
      </c>
      <c r="EJ16" s="65"/>
      <c r="EK16" s="7"/>
      <c r="EL16" s="53">
        <f t="shared" si="10"/>
        <v>100</v>
      </c>
      <c r="EN16" s="51">
        <f t="shared" si="11"/>
        <v>-5786.2699999999995</v>
      </c>
      <c r="EP16" s="60">
        <f t="shared" si="12"/>
        <v>0</v>
      </c>
      <c r="EQ16" s="61">
        <f t="shared" si="13"/>
        <v>0</v>
      </c>
      <c r="ER16" s="15">
        <f t="shared" si="14"/>
        <v>0</v>
      </c>
      <c r="ES16" s="163">
        <f t="shared" si="15"/>
        <v>0</v>
      </c>
      <c r="ET16" t="s">
        <v>1004</v>
      </c>
      <c r="EU16">
        <v>5</v>
      </c>
    </row>
    <row r="17" spans="1:151" x14ac:dyDescent="0.45">
      <c r="A17" s="67">
        <v>45411</v>
      </c>
      <c r="B17" s="25" t="s">
        <v>721</v>
      </c>
      <c r="C17" s="10" t="s">
        <v>689</v>
      </c>
      <c r="D17" s="7"/>
      <c r="E17" s="43">
        <v>337.5</v>
      </c>
      <c r="F17" s="43">
        <f>4.68+6.57</f>
        <v>11.25</v>
      </c>
      <c r="G17" s="16">
        <f t="shared" si="1"/>
        <v>8383.869999999999</v>
      </c>
      <c r="H17" s="64" t="s">
        <v>625</v>
      </c>
      <c r="I17" s="52"/>
      <c r="J17" s="43"/>
      <c r="K17" s="43"/>
      <c r="L17" s="43"/>
      <c r="M17" s="43"/>
      <c r="N17" s="43"/>
      <c r="O17" s="43"/>
      <c r="P17" s="43"/>
      <c r="Q17" s="43"/>
      <c r="R17" s="43"/>
      <c r="S17" s="43"/>
      <c r="T17" s="43"/>
      <c r="U17" s="43"/>
      <c r="V17" s="43"/>
      <c r="W17" s="43"/>
      <c r="X17" s="43"/>
      <c r="Y17" s="43"/>
      <c r="Z17" s="43">
        <v>337.5</v>
      </c>
      <c r="AA17" s="43"/>
      <c r="AB17" s="43"/>
      <c r="AC17" s="43"/>
      <c r="AD17" s="43"/>
      <c r="AE17" s="43"/>
      <c r="AF17" s="43"/>
      <c r="AG17" s="43"/>
      <c r="AH17" s="43"/>
      <c r="AI17" s="43"/>
      <c r="AJ17" s="43"/>
      <c r="AK17" s="43"/>
      <c r="AL17" s="43"/>
      <c r="AM17" s="43"/>
      <c r="AN17" s="43"/>
      <c r="AO17" s="43"/>
      <c r="AP17" s="43"/>
      <c r="AQ17" s="43"/>
      <c r="AR17" s="53"/>
      <c r="AS17" s="52"/>
      <c r="AT17" s="43"/>
      <c r="AU17" s="43"/>
      <c r="AV17" s="43"/>
      <c r="AW17" s="43"/>
      <c r="AX17" s="43"/>
      <c r="AY17" s="43"/>
      <c r="AZ17" s="43">
        <v>11.25</v>
      </c>
      <c r="BA17" s="43"/>
      <c r="BB17" s="43"/>
      <c r="BC17" s="43"/>
      <c r="BD17" s="43"/>
      <c r="BE17" s="43"/>
      <c r="BF17" s="43"/>
      <c r="BG17" s="43"/>
      <c r="BH17" s="43"/>
      <c r="BI17" s="43"/>
      <c r="BJ17" s="43"/>
      <c r="BK17" s="43"/>
      <c r="BL17" s="43"/>
      <c r="BM17" s="43"/>
      <c r="BN17" s="43"/>
      <c r="BO17" s="43"/>
      <c r="BP17" s="43"/>
      <c r="BQ17" s="43"/>
      <c r="BR17" s="43"/>
      <c r="BS17" s="43"/>
      <c r="BT17" s="43"/>
      <c r="BU17" s="43"/>
      <c r="BV17" s="43"/>
      <c r="BW17" s="53"/>
      <c r="BX17" s="30">
        <f t="shared" si="0"/>
        <v>0</v>
      </c>
      <c r="BY17" s="52"/>
      <c r="BZ17" s="43"/>
      <c r="CA17" s="43">
        <v>337.5</v>
      </c>
      <c r="CB17" s="43"/>
      <c r="CC17" s="43"/>
      <c r="CD17" s="43"/>
      <c r="CE17" s="43"/>
      <c r="CF17" s="43"/>
      <c r="CG17" s="53"/>
      <c r="CH17" s="52"/>
      <c r="CI17" s="43"/>
      <c r="CJ17" s="43"/>
      <c r="CK17" s="43"/>
      <c r="CL17" s="43"/>
      <c r="CM17" s="43"/>
      <c r="CN17" s="43"/>
      <c r="CO17" s="43"/>
      <c r="CP17" s="43"/>
      <c r="CQ17" s="43"/>
      <c r="CR17" s="43"/>
      <c r="CS17" s="43"/>
      <c r="CT17" s="43"/>
      <c r="CU17" s="43"/>
      <c r="CV17" s="43"/>
      <c r="CW17" s="43"/>
      <c r="CX17" s="43"/>
      <c r="CY17" s="43"/>
      <c r="CZ17" s="7"/>
      <c r="DA17" s="7"/>
      <c r="DB17" s="43">
        <v>11.25</v>
      </c>
      <c r="DC17" s="43"/>
      <c r="DD17" s="53"/>
      <c r="DE17" s="73">
        <f t="shared" si="2"/>
        <v>0</v>
      </c>
      <c r="DG17" s="52"/>
      <c r="DH17" s="43"/>
      <c r="DI17" s="50">
        <f t="shared" si="3"/>
        <v>3707.1099999999997</v>
      </c>
      <c r="DK17" s="52"/>
      <c r="DL17" s="43"/>
      <c r="DM17" s="50">
        <f t="shared" si="4"/>
        <v>2058.06</v>
      </c>
      <c r="DO17" s="52">
        <v>337.5</v>
      </c>
      <c r="DP17" s="43">
        <v>11.25</v>
      </c>
      <c r="DQ17" s="50">
        <f t="shared" si="5"/>
        <v>6527.7599999999993</v>
      </c>
      <c r="DT17" s="52"/>
      <c r="DU17" s="43"/>
      <c r="DV17" s="50">
        <f t="shared" si="6"/>
        <v>361.19</v>
      </c>
      <c r="DX17" s="52"/>
      <c r="DY17" s="43"/>
      <c r="DZ17" s="53">
        <f t="shared" si="7"/>
        <v>191.02</v>
      </c>
      <c r="EB17" s="52"/>
      <c r="EC17" s="43"/>
      <c r="ED17" s="53">
        <f t="shared" si="8"/>
        <v>0</v>
      </c>
      <c r="EF17" s="52"/>
      <c r="EG17" s="43"/>
      <c r="EH17" s="53">
        <f t="shared" si="9"/>
        <v>1225</v>
      </c>
      <c r="EJ17" s="65"/>
      <c r="EK17" s="7"/>
      <c r="EL17" s="53">
        <f t="shared" si="10"/>
        <v>100</v>
      </c>
      <c r="EN17" s="51">
        <f t="shared" si="11"/>
        <v>-5786.2699999999995</v>
      </c>
      <c r="EP17" s="60">
        <f t="shared" si="12"/>
        <v>0</v>
      </c>
      <c r="EQ17" s="61">
        <f t="shared" si="13"/>
        <v>0</v>
      </c>
      <c r="ER17" s="15">
        <f t="shared" si="14"/>
        <v>0</v>
      </c>
      <c r="ES17" s="62">
        <f t="shared" si="15"/>
        <v>0</v>
      </c>
      <c r="EU17" s="6">
        <v>6</v>
      </c>
    </row>
    <row r="18" spans="1:151" x14ac:dyDescent="0.45">
      <c r="A18" s="67">
        <v>45411</v>
      </c>
      <c r="B18" s="25" t="s">
        <v>723</v>
      </c>
      <c r="C18" s="10" t="s">
        <v>725</v>
      </c>
      <c r="D18" s="7"/>
      <c r="E18" s="43">
        <v>187.5</v>
      </c>
      <c r="F18" s="43">
        <f>2.6+3.65</f>
        <v>6.25</v>
      </c>
      <c r="G18" s="16">
        <f t="shared" si="1"/>
        <v>8565.119999999999</v>
      </c>
      <c r="H18" s="64" t="s">
        <v>625</v>
      </c>
      <c r="I18" s="52"/>
      <c r="J18" s="43"/>
      <c r="K18" s="43"/>
      <c r="L18" s="43"/>
      <c r="M18" s="43"/>
      <c r="N18" s="43"/>
      <c r="O18" s="43"/>
      <c r="P18" s="43"/>
      <c r="Q18" s="43"/>
      <c r="R18" s="43"/>
      <c r="S18" s="43"/>
      <c r="T18" s="43"/>
      <c r="U18" s="43"/>
      <c r="V18" s="43"/>
      <c r="W18" s="43"/>
      <c r="X18" s="43"/>
      <c r="Y18" s="43"/>
      <c r="Z18" s="43">
        <v>187.5</v>
      </c>
      <c r="AA18" s="43"/>
      <c r="AB18" s="43"/>
      <c r="AC18" s="43"/>
      <c r="AD18" s="43"/>
      <c r="AE18" s="43"/>
      <c r="AF18" s="43"/>
      <c r="AG18" s="43"/>
      <c r="AH18" s="43"/>
      <c r="AI18" s="43"/>
      <c r="AJ18" s="43"/>
      <c r="AK18" s="43"/>
      <c r="AL18" s="43"/>
      <c r="AM18" s="43"/>
      <c r="AN18" s="43"/>
      <c r="AO18" s="43"/>
      <c r="AP18" s="43"/>
      <c r="AQ18" s="43"/>
      <c r="AR18" s="53"/>
      <c r="AS18" s="52"/>
      <c r="AT18" s="43"/>
      <c r="AU18" s="43"/>
      <c r="AV18" s="43"/>
      <c r="AW18" s="43"/>
      <c r="AX18" s="43"/>
      <c r="AY18" s="43"/>
      <c r="AZ18" s="43">
        <v>6.25</v>
      </c>
      <c r="BA18" s="43"/>
      <c r="BB18" s="43"/>
      <c r="BC18" s="43"/>
      <c r="BD18" s="43"/>
      <c r="BE18" s="43"/>
      <c r="BF18" s="43"/>
      <c r="BG18" s="43"/>
      <c r="BH18" s="43"/>
      <c r="BI18" s="43"/>
      <c r="BJ18" s="43"/>
      <c r="BK18" s="43"/>
      <c r="BL18" s="43"/>
      <c r="BM18" s="43"/>
      <c r="BN18" s="43"/>
      <c r="BO18" s="43"/>
      <c r="BP18" s="43"/>
      <c r="BQ18" s="43"/>
      <c r="BR18" s="43"/>
      <c r="BS18" s="43"/>
      <c r="BT18" s="43"/>
      <c r="BU18" s="43"/>
      <c r="BV18" s="43"/>
      <c r="BW18" s="53"/>
      <c r="BX18" s="30">
        <f t="shared" si="0"/>
        <v>0</v>
      </c>
      <c r="BY18" s="52"/>
      <c r="BZ18" s="43"/>
      <c r="CA18" s="43">
        <v>187.5</v>
      </c>
      <c r="CB18" s="43"/>
      <c r="CC18" s="43"/>
      <c r="CD18" s="43"/>
      <c r="CE18" s="43"/>
      <c r="CF18" s="43"/>
      <c r="CG18" s="53"/>
      <c r="CH18" s="52"/>
      <c r="CI18" s="43"/>
      <c r="CJ18" s="43"/>
      <c r="CK18" s="43"/>
      <c r="CL18" s="43"/>
      <c r="CM18" s="43"/>
      <c r="CN18" s="43"/>
      <c r="CO18" s="43"/>
      <c r="CP18" s="43"/>
      <c r="CQ18" s="43"/>
      <c r="CR18" s="43"/>
      <c r="CS18" s="43"/>
      <c r="CT18" s="43"/>
      <c r="CU18" s="43"/>
      <c r="CV18" s="43"/>
      <c r="CW18" s="43"/>
      <c r="CX18" s="43"/>
      <c r="CY18" s="43"/>
      <c r="CZ18" s="7"/>
      <c r="DA18" s="7"/>
      <c r="DB18" s="43">
        <v>6.25</v>
      </c>
      <c r="DC18" s="43"/>
      <c r="DD18" s="53"/>
      <c r="DE18" s="73">
        <f t="shared" si="2"/>
        <v>0</v>
      </c>
      <c r="DG18" s="52"/>
      <c r="DH18" s="43"/>
      <c r="DI18" s="50">
        <f t="shared" si="3"/>
        <v>3707.1099999999997</v>
      </c>
      <c r="DK18" s="52"/>
      <c r="DL18" s="43"/>
      <c r="DM18" s="50">
        <f t="shared" si="4"/>
        <v>2058.06</v>
      </c>
      <c r="DO18" s="52">
        <v>187.5</v>
      </c>
      <c r="DP18" s="43">
        <v>6.25</v>
      </c>
      <c r="DQ18" s="50">
        <f t="shared" si="5"/>
        <v>6709.0099999999993</v>
      </c>
      <c r="DT18" s="52"/>
      <c r="DU18" s="43"/>
      <c r="DV18" s="50">
        <f t="shared" si="6"/>
        <v>361.19</v>
      </c>
      <c r="DX18" s="52"/>
      <c r="DY18" s="43"/>
      <c r="DZ18" s="53">
        <f t="shared" si="7"/>
        <v>191.02</v>
      </c>
      <c r="EB18" s="52"/>
      <c r="EC18" s="43"/>
      <c r="ED18" s="53">
        <f t="shared" si="8"/>
        <v>0</v>
      </c>
      <c r="EF18" s="52"/>
      <c r="EG18" s="43"/>
      <c r="EH18" s="53">
        <f t="shared" si="9"/>
        <v>1225</v>
      </c>
      <c r="EJ18" s="65"/>
      <c r="EK18" s="7"/>
      <c r="EL18" s="53">
        <f t="shared" si="10"/>
        <v>100</v>
      </c>
      <c r="EN18" s="51">
        <f t="shared" si="11"/>
        <v>-5786.2699999999995</v>
      </c>
      <c r="EP18" s="60">
        <f t="shared" si="12"/>
        <v>0</v>
      </c>
      <c r="EQ18" s="61">
        <f t="shared" si="13"/>
        <v>0</v>
      </c>
      <c r="ER18" s="15">
        <f t="shared" si="14"/>
        <v>0</v>
      </c>
      <c r="ES18" s="163">
        <f t="shared" si="15"/>
        <v>0</v>
      </c>
      <c r="EU18">
        <v>7</v>
      </c>
    </row>
    <row r="19" spans="1:151" x14ac:dyDescent="0.45">
      <c r="A19" s="67">
        <v>45411</v>
      </c>
      <c r="B19" s="25" t="s">
        <v>726</v>
      </c>
      <c r="C19" s="10" t="s">
        <v>727</v>
      </c>
      <c r="D19" s="7"/>
      <c r="E19" s="43">
        <v>600</v>
      </c>
      <c r="F19" s="43">
        <f>8.32+11.68</f>
        <v>20</v>
      </c>
      <c r="G19" s="16">
        <f t="shared" si="1"/>
        <v>9145.119999999999</v>
      </c>
      <c r="H19" s="64" t="s">
        <v>625</v>
      </c>
      <c r="I19" s="52"/>
      <c r="J19" s="43"/>
      <c r="K19" s="43"/>
      <c r="L19" s="43"/>
      <c r="M19" s="43"/>
      <c r="N19" s="43"/>
      <c r="O19" s="43"/>
      <c r="P19" s="43"/>
      <c r="Q19" s="43"/>
      <c r="R19" s="43"/>
      <c r="S19" s="43"/>
      <c r="T19" s="43"/>
      <c r="U19" s="43"/>
      <c r="V19" s="43"/>
      <c r="W19" s="43"/>
      <c r="X19" s="43">
        <v>600</v>
      </c>
      <c r="Y19" s="43"/>
      <c r="Z19" s="43"/>
      <c r="AA19" s="43"/>
      <c r="AB19" s="43"/>
      <c r="AC19" s="43"/>
      <c r="AD19" s="43"/>
      <c r="AE19" s="43"/>
      <c r="AF19" s="43"/>
      <c r="AG19" s="43"/>
      <c r="AH19" s="43"/>
      <c r="AI19" s="43"/>
      <c r="AJ19" s="43"/>
      <c r="AK19" s="43"/>
      <c r="AL19" s="43"/>
      <c r="AM19" s="43"/>
      <c r="AN19" s="43"/>
      <c r="AO19" s="43"/>
      <c r="AP19" s="43"/>
      <c r="AQ19" s="43"/>
      <c r="AR19" s="53"/>
      <c r="AS19" s="52"/>
      <c r="AT19" s="43"/>
      <c r="AU19" s="43"/>
      <c r="AV19" s="43"/>
      <c r="AW19" s="43"/>
      <c r="AX19" s="43">
        <v>20</v>
      </c>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53"/>
      <c r="BX19" s="30">
        <f t="shared" si="0"/>
        <v>0</v>
      </c>
      <c r="BY19" s="52"/>
      <c r="BZ19" s="43"/>
      <c r="CA19" s="43">
        <v>600</v>
      </c>
      <c r="CB19" s="43"/>
      <c r="CC19" s="43"/>
      <c r="CD19" s="43"/>
      <c r="CE19" s="43"/>
      <c r="CF19" s="43"/>
      <c r="CG19" s="53"/>
      <c r="CH19" s="52"/>
      <c r="CI19" s="43"/>
      <c r="CJ19" s="43"/>
      <c r="CK19" s="43"/>
      <c r="CL19" s="43"/>
      <c r="CM19" s="43"/>
      <c r="CN19" s="43"/>
      <c r="CO19" s="43"/>
      <c r="CP19" s="43"/>
      <c r="CQ19" s="43"/>
      <c r="CR19" s="43"/>
      <c r="CS19" s="43"/>
      <c r="CT19" s="43"/>
      <c r="CU19" s="43"/>
      <c r="CV19" s="43"/>
      <c r="CW19" s="43"/>
      <c r="CX19" s="43"/>
      <c r="CY19" s="43"/>
      <c r="CZ19" s="7"/>
      <c r="DA19" s="7"/>
      <c r="DB19" s="43">
        <v>20</v>
      </c>
      <c r="DC19" s="43"/>
      <c r="DD19" s="53"/>
      <c r="DE19" s="73">
        <f t="shared" si="2"/>
        <v>0</v>
      </c>
      <c r="DG19" s="52">
        <v>600</v>
      </c>
      <c r="DH19" s="43">
        <v>20</v>
      </c>
      <c r="DI19" s="50">
        <f t="shared" si="3"/>
        <v>4287.1099999999997</v>
      </c>
      <c r="DK19" s="52"/>
      <c r="DL19" s="43"/>
      <c r="DM19" s="50">
        <f t="shared" si="4"/>
        <v>2058.06</v>
      </c>
      <c r="DO19" s="52"/>
      <c r="DP19" s="43"/>
      <c r="DQ19" s="50">
        <f t="shared" si="5"/>
        <v>6709.0099999999993</v>
      </c>
      <c r="DT19" s="52"/>
      <c r="DU19" s="43"/>
      <c r="DV19" s="50">
        <f t="shared" si="6"/>
        <v>361.19</v>
      </c>
      <c r="DX19" s="52"/>
      <c r="DY19" s="43"/>
      <c r="DZ19" s="53">
        <f t="shared" si="7"/>
        <v>191.02</v>
      </c>
      <c r="EB19" s="52"/>
      <c r="EC19" s="43"/>
      <c r="ED19" s="53">
        <f t="shared" si="8"/>
        <v>0</v>
      </c>
      <c r="EF19" s="52"/>
      <c r="EG19" s="43"/>
      <c r="EH19" s="53">
        <f t="shared" si="9"/>
        <v>1225</v>
      </c>
      <c r="EJ19" s="65"/>
      <c r="EK19" s="7"/>
      <c r="EL19" s="53">
        <f t="shared" si="10"/>
        <v>100</v>
      </c>
      <c r="EN19" s="51">
        <f t="shared" si="11"/>
        <v>-5786.2699999999995</v>
      </c>
      <c r="EP19" s="60">
        <f t="shared" si="12"/>
        <v>0</v>
      </c>
      <c r="EQ19" s="61">
        <f t="shared" si="13"/>
        <v>0</v>
      </c>
      <c r="ER19" s="15">
        <f t="shared" si="14"/>
        <v>0</v>
      </c>
      <c r="ES19" s="62">
        <f t="shared" si="15"/>
        <v>0</v>
      </c>
      <c r="ET19" t="s">
        <v>1004</v>
      </c>
      <c r="EU19" s="6">
        <v>8</v>
      </c>
    </row>
    <row r="20" spans="1:151" x14ac:dyDescent="0.45">
      <c r="A20" s="67">
        <v>45411</v>
      </c>
      <c r="B20" s="25" t="s">
        <v>728</v>
      </c>
      <c r="C20" s="10" t="s">
        <v>722</v>
      </c>
      <c r="D20" s="7"/>
      <c r="E20" s="43">
        <v>150</v>
      </c>
      <c r="F20" s="43">
        <f>2.08+2.92</f>
        <v>5</v>
      </c>
      <c r="G20" s="16">
        <f t="shared" si="1"/>
        <v>9290.119999999999</v>
      </c>
      <c r="H20" s="64" t="s">
        <v>625</v>
      </c>
      <c r="I20" s="52"/>
      <c r="J20" s="43"/>
      <c r="K20" s="43"/>
      <c r="L20" s="43"/>
      <c r="M20" s="43"/>
      <c r="N20" s="43"/>
      <c r="O20" s="43"/>
      <c r="P20" s="43"/>
      <c r="Q20" s="43"/>
      <c r="R20" s="43"/>
      <c r="S20" s="43"/>
      <c r="T20" s="43"/>
      <c r="U20" s="43"/>
      <c r="V20" s="43"/>
      <c r="W20" s="43"/>
      <c r="X20" s="43"/>
      <c r="Y20" s="43">
        <v>150</v>
      </c>
      <c r="Z20" s="43"/>
      <c r="AA20" s="43"/>
      <c r="AB20" s="43"/>
      <c r="AC20" s="43"/>
      <c r="AD20" s="43"/>
      <c r="AE20" s="43"/>
      <c r="AF20" s="43"/>
      <c r="AG20" s="43"/>
      <c r="AH20" s="43"/>
      <c r="AI20" s="43"/>
      <c r="AJ20" s="43"/>
      <c r="AK20" s="43"/>
      <c r="AL20" s="43"/>
      <c r="AM20" s="43"/>
      <c r="AN20" s="43"/>
      <c r="AO20" s="43"/>
      <c r="AP20" s="43"/>
      <c r="AQ20" s="43"/>
      <c r="AR20" s="53"/>
      <c r="AS20" s="52"/>
      <c r="AT20" s="43"/>
      <c r="AU20" s="43"/>
      <c r="AV20" s="43"/>
      <c r="AW20" s="43"/>
      <c r="AX20" s="43"/>
      <c r="AY20" s="43">
        <v>5</v>
      </c>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53"/>
      <c r="BX20" s="30">
        <f t="shared" si="0"/>
        <v>0</v>
      </c>
      <c r="BY20" s="52"/>
      <c r="BZ20" s="43"/>
      <c r="CA20" s="43">
        <v>150</v>
      </c>
      <c r="CB20" s="43"/>
      <c r="CC20" s="43"/>
      <c r="CD20" s="43"/>
      <c r="CE20" s="43"/>
      <c r="CF20" s="43"/>
      <c r="CG20" s="53"/>
      <c r="CH20" s="52"/>
      <c r="CI20" s="43"/>
      <c r="CJ20" s="43"/>
      <c r="CK20" s="43"/>
      <c r="CL20" s="43"/>
      <c r="CM20" s="43"/>
      <c r="CN20" s="43"/>
      <c r="CO20" s="43"/>
      <c r="CP20" s="43"/>
      <c r="CQ20" s="43"/>
      <c r="CR20" s="43"/>
      <c r="CS20" s="43"/>
      <c r="CT20" s="43"/>
      <c r="CU20" s="43"/>
      <c r="CV20" s="43"/>
      <c r="CW20" s="43"/>
      <c r="CX20" s="43"/>
      <c r="CY20" s="43"/>
      <c r="CZ20" s="7"/>
      <c r="DA20" s="7"/>
      <c r="DB20" s="43">
        <v>5</v>
      </c>
      <c r="DC20" s="43"/>
      <c r="DD20" s="53"/>
      <c r="DE20" s="73">
        <f t="shared" si="2"/>
        <v>0</v>
      </c>
      <c r="DG20" s="52"/>
      <c r="DH20" s="43"/>
      <c r="DI20" s="50">
        <f t="shared" si="3"/>
        <v>4287.1099999999997</v>
      </c>
      <c r="DK20" s="52">
        <v>150</v>
      </c>
      <c r="DL20" s="43">
        <v>5</v>
      </c>
      <c r="DM20" s="50">
        <f t="shared" si="4"/>
        <v>2203.06</v>
      </c>
      <c r="DO20" s="52"/>
      <c r="DP20" s="43"/>
      <c r="DQ20" s="50">
        <f t="shared" si="5"/>
        <v>6709.0099999999993</v>
      </c>
      <c r="DT20" s="52"/>
      <c r="DU20" s="43"/>
      <c r="DV20" s="50">
        <f t="shared" si="6"/>
        <v>361.19</v>
      </c>
      <c r="DX20" s="52"/>
      <c r="DY20" s="43"/>
      <c r="DZ20" s="53">
        <f t="shared" si="7"/>
        <v>191.02</v>
      </c>
      <c r="EB20" s="52"/>
      <c r="EC20" s="43"/>
      <c r="ED20" s="53">
        <f t="shared" si="8"/>
        <v>0</v>
      </c>
      <c r="EF20" s="52"/>
      <c r="EG20" s="43"/>
      <c r="EH20" s="53">
        <f t="shared" si="9"/>
        <v>1225</v>
      </c>
      <c r="EJ20" s="65"/>
      <c r="EK20" s="7"/>
      <c r="EL20" s="53">
        <f t="shared" si="10"/>
        <v>100</v>
      </c>
      <c r="EN20" s="51">
        <f t="shared" si="11"/>
        <v>-5786.2699999999995</v>
      </c>
      <c r="EP20" s="60">
        <f t="shared" si="12"/>
        <v>0</v>
      </c>
      <c r="EQ20" s="61">
        <f t="shared" si="13"/>
        <v>0</v>
      </c>
      <c r="ER20" s="15">
        <f t="shared" si="14"/>
        <v>0</v>
      </c>
      <c r="ES20" s="163">
        <f t="shared" si="15"/>
        <v>0</v>
      </c>
      <c r="EU20">
        <v>9</v>
      </c>
    </row>
    <row r="21" spans="1:151" x14ac:dyDescent="0.45">
      <c r="A21" s="67">
        <v>45412</v>
      </c>
      <c r="B21" s="25" t="s">
        <v>721</v>
      </c>
      <c r="C21" s="10" t="s">
        <v>744</v>
      </c>
      <c r="D21" s="7"/>
      <c r="E21" s="43">
        <v>37.5</v>
      </c>
      <c r="F21" s="43">
        <f>0.52+0.73</f>
        <v>1.25</v>
      </c>
      <c r="G21" s="16">
        <f t="shared" si="1"/>
        <v>9326.369999999999</v>
      </c>
      <c r="H21" s="64" t="s">
        <v>625</v>
      </c>
      <c r="I21" s="52"/>
      <c r="J21" s="43"/>
      <c r="K21" s="43"/>
      <c r="L21" s="43"/>
      <c r="M21" s="43"/>
      <c r="N21" s="43"/>
      <c r="O21" s="43"/>
      <c r="P21" s="43"/>
      <c r="Q21" s="43"/>
      <c r="R21" s="43"/>
      <c r="S21" s="43"/>
      <c r="T21" s="43"/>
      <c r="U21" s="43"/>
      <c r="V21" s="43"/>
      <c r="W21" s="43"/>
      <c r="X21" s="43"/>
      <c r="Y21" s="43"/>
      <c r="Z21" s="43">
        <v>37.5</v>
      </c>
      <c r="AA21" s="43"/>
      <c r="AB21" s="43"/>
      <c r="AC21" s="43"/>
      <c r="AD21" s="43"/>
      <c r="AE21" s="43"/>
      <c r="AF21" s="43"/>
      <c r="AG21" s="43"/>
      <c r="AH21" s="43"/>
      <c r="AI21" s="43"/>
      <c r="AJ21" s="43"/>
      <c r="AK21" s="43"/>
      <c r="AL21" s="43"/>
      <c r="AM21" s="43"/>
      <c r="AN21" s="43"/>
      <c r="AO21" s="43"/>
      <c r="AP21" s="43"/>
      <c r="AQ21" s="43"/>
      <c r="AR21" s="53"/>
      <c r="AS21" s="52"/>
      <c r="AT21" s="43"/>
      <c r="AU21" s="43"/>
      <c r="AV21" s="43"/>
      <c r="AW21" s="43"/>
      <c r="AX21" s="43"/>
      <c r="AY21" s="43"/>
      <c r="AZ21" s="43">
        <v>1.25</v>
      </c>
      <c r="BA21" s="43"/>
      <c r="BB21" s="43"/>
      <c r="BC21" s="43"/>
      <c r="BD21" s="43"/>
      <c r="BE21" s="43"/>
      <c r="BF21" s="43"/>
      <c r="BG21" s="43"/>
      <c r="BH21" s="43"/>
      <c r="BI21" s="43"/>
      <c r="BJ21" s="43"/>
      <c r="BK21" s="43"/>
      <c r="BL21" s="43"/>
      <c r="BM21" s="43"/>
      <c r="BN21" s="43"/>
      <c r="BO21" s="43"/>
      <c r="BP21" s="43"/>
      <c r="BQ21" s="43"/>
      <c r="BR21" s="43"/>
      <c r="BS21" s="43"/>
      <c r="BT21" s="43"/>
      <c r="BU21" s="43"/>
      <c r="BV21" s="43"/>
      <c r="BW21" s="53"/>
      <c r="BX21" s="30">
        <f t="shared" si="0"/>
        <v>0</v>
      </c>
      <c r="BY21" s="52"/>
      <c r="BZ21" s="43"/>
      <c r="CA21" s="43">
        <v>37.5</v>
      </c>
      <c r="CB21" s="43"/>
      <c r="CC21" s="43"/>
      <c r="CD21" s="43"/>
      <c r="CE21" s="43"/>
      <c r="CF21" s="43"/>
      <c r="CG21" s="53"/>
      <c r="CH21" s="52"/>
      <c r="CI21" s="43"/>
      <c r="CJ21" s="43"/>
      <c r="CK21" s="43"/>
      <c r="CL21" s="43"/>
      <c r="CM21" s="43"/>
      <c r="CN21" s="43"/>
      <c r="CO21" s="43"/>
      <c r="CP21" s="43"/>
      <c r="CQ21" s="43"/>
      <c r="CR21" s="43"/>
      <c r="CS21" s="43"/>
      <c r="CT21" s="43"/>
      <c r="CU21" s="43"/>
      <c r="CV21" s="43"/>
      <c r="CW21" s="43"/>
      <c r="CX21" s="43"/>
      <c r="CY21" s="43"/>
      <c r="CZ21" s="7"/>
      <c r="DA21" s="7"/>
      <c r="DB21" s="43">
        <v>1.25</v>
      </c>
      <c r="DC21" s="43"/>
      <c r="DD21" s="53"/>
      <c r="DE21" s="73">
        <f t="shared" si="2"/>
        <v>0</v>
      </c>
      <c r="DG21" s="52"/>
      <c r="DH21" s="43"/>
      <c r="DI21" s="50">
        <f t="shared" si="3"/>
        <v>4287.1099999999997</v>
      </c>
      <c r="DK21" s="52"/>
      <c r="DL21" s="43"/>
      <c r="DM21" s="50">
        <f t="shared" si="4"/>
        <v>2203.06</v>
      </c>
      <c r="DO21" s="52">
        <v>37.5</v>
      </c>
      <c r="DP21" s="43">
        <v>1.25</v>
      </c>
      <c r="DQ21" s="50">
        <f t="shared" si="5"/>
        <v>6745.2599999999993</v>
      </c>
      <c r="DT21" s="52"/>
      <c r="DU21" s="43"/>
      <c r="DV21" s="50">
        <f t="shared" si="6"/>
        <v>361.19</v>
      </c>
      <c r="DX21" s="52"/>
      <c r="DY21" s="43"/>
      <c r="DZ21" s="53">
        <f t="shared" si="7"/>
        <v>191.02</v>
      </c>
      <c r="EB21" s="52"/>
      <c r="EC21" s="43"/>
      <c r="ED21" s="53">
        <f t="shared" si="8"/>
        <v>0</v>
      </c>
      <c r="EF21" s="52"/>
      <c r="EG21" s="43"/>
      <c r="EH21" s="53">
        <f t="shared" si="9"/>
        <v>1225</v>
      </c>
      <c r="EJ21" s="65"/>
      <c r="EK21" s="7"/>
      <c r="EL21" s="53">
        <f t="shared" si="10"/>
        <v>100</v>
      </c>
      <c r="EN21" s="51">
        <f t="shared" si="11"/>
        <v>-5786.2699999999995</v>
      </c>
      <c r="EP21" s="60">
        <f t="shared" si="12"/>
        <v>0</v>
      </c>
      <c r="EQ21" s="61">
        <f t="shared" si="13"/>
        <v>0</v>
      </c>
      <c r="ER21" s="15">
        <f t="shared" si="14"/>
        <v>0</v>
      </c>
      <c r="ES21" s="62">
        <f t="shared" si="15"/>
        <v>0</v>
      </c>
      <c r="EU21" s="6">
        <v>10</v>
      </c>
    </row>
    <row r="22" spans="1:151" x14ac:dyDescent="0.45">
      <c r="A22" s="67">
        <v>45412</v>
      </c>
      <c r="B22" s="25" t="s">
        <v>726</v>
      </c>
      <c r="C22" s="10" t="s">
        <v>730</v>
      </c>
      <c r="D22" s="7"/>
      <c r="E22" s="43">
        <v>187.5</v>
      </c>
      <c r="F22" s="43">
        <f>2.6+3.65</f>
        <v>6.25</v>
      </c>
      <c r="G22" s="16">
        <f t="shared" si="1"/>
        <v>9507.619999999999</v>
      </c>
      <c r="H22" s="64" t="s">
        <v>625</v>
      </c>
      <c r="I22" s="52"/>
      <c r="J22" s="43"/>
      <c r="K22" s="43"/>
      <c r="L22" s="43"/>
      <c r="M22" s="43"/>
      <c r="N22" s="43"/>
      <c r="O22" s="43"/>
      <c r="P22" s="43"/>
      <c r="Q22" s="43"/>
      <c r="R22" s="43"/>
      <c r="S22" s="43"/>
      <c r="T22" s="43"/>
      <c r="U22" s="43"/>
      <c r="V22" s="43"/>
      <c r="W22" s="43"/>
      <c r="X22" s="43">
        <v>187.5</v>
      </c>
      <c r="Y22" s="43"/>
      <c r="Z22" s="43"/>
      <c r="AA22" s="43"/>
      <c r="AB22" s="43"/>
      <c r="AC22" s="43"/>
      <c r="AD22" s="43"/>
      <c r="AE22" s="43"/>
      <c r="AF22" s="43"/>
      <c r="AG22" s="43"/>
      <c r="AH22" s="43"/>
      <c r="AI22" s="43"/>
      <c r="AJ22" s="43"/>
      <c r="AK22" s="43"/>
      <c r="AL22" s="43"/>
      <c r="AM22" s="43"/>
      <c r="AN22" s="43"/>
      <c r="AO22" s="43"/>
      <c r="AP22" s="43"/>
      <c r="AQ22" s="43"/>
      <c r="AR22" s="53"/>
      <c r="AS22" s="52"/>
      <c r="AT22" s="43"/>
      <c r="AU22" s="43"/>
      <c r="AV22" s="43"/>
      <c r="AW22" s="43"/>
      <c r="AX22" s="43">
        <v>6.25</v>
      </c>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53"/>
      <c r="BX22" s="30">
        <f t="shared" si="0"/>
        <v>0</v>
      </c>
      <c r="BY22" s="52"/>
      <c r="BZ22" s="43"/>
      <c r="CA22" s="43">
        <v>187.5</v>
      </c>
      <c r="CB22" s="43"/>
      <c r="CC22" s="43"/>
      <c r="CD22" s="43"/>
      <c r="CE22" s="43"/>
      <c r="CF22" s="43"/>
      <c r="CG22" s="53"/>
      <c r="CH22" s="52"/>
      <c r="CI22" s="43"/>
      <c r="CJ22" s="43"/>
      <c r="CK22" s="43"/>
      <c r="CL22" s="43"/>
      <c r="CM22" s="43"/>
      <c r="CN22" s="43"/>
      <c r="CO22" s="43"/>
      <c r="CP22" s="43"/>
      <c r="CQ22" s="43"/>
      <c r="CR22" s="43"/>
      <c r="CS22" s="43"/>
      <c r="CT22" s="43"/>
      <c r="CU22" s="43"/>
      <c r="CV22" s="43"/>
      <c r="CW22" s="43"/>
      <c r="CX22" s="43"/>
      <c r="CY22" s="43"/>
      <c r="CZ22" s="7"/>
      <c r="DA22" s="7"/>
      <c r="DB22" s="43">
        <v>6.25</v>
      </c>
      <c r="DC22" s="43"/>
      <c r="DD22" s="53"/>
      <c r="DE22" s="73">
        <f t="shared" si="2"/>
        <v>0</v>
      </c>
      <c r="DG22" s="52">
        <v>187.5</v>
      </c>
      <c r="DH22" s="43">
        <v>6.25</v>
      </c>
      <c r="DI22" s="50">
        <f t="shared" si="3"/>
        <v>4468.3599999999997</v>
      </c>
      <c r="DK22" s="52"/>
      <c r="DL22" s="43"/>
      <c r="DM22" s="50">
        <f t="shared" si="4"/>
        <v>2203.06</v>
      </c>
      <c r="DO22" s="52"/>
      <c r="DP22" s="43"/>
      <c r="DQ22" s="50">
        <f t="shared" si="5"/>
        <v>6745.2599999999993</v>
      </c>
      <c r="DT22" s="52"/>
      <c r="DU22" s="43"/>
      <c r="DV22" s="50">
        <f t="shared" si="6"/>
        <v>361.19</v>
      </c>
      <c r="DX22" s="52"/>
      <c r="DY22" s="43"/>
      <c r="DZ22" s="53">
        <f t="shared" si="7"/>
        <v>191.02</v>
      </c>
      <c r="EB22" s="52"/>
      <c r="EC22" s="43"/>
      <c r="ED22" s="53">
        <f t="shared" si="8"/>
        <v>0</v>
      </c>
      <c r="EF22" s="52"/>
      <c r="EG22" s="43"/>
      <c r="EH22" s="53">
        <f t="shared" si="9"/>
        <v>1225</v>
      </c>
      <c r="EJ22" s="65"/>
      <c r="EK22" s="7"/>
      <c r="EL22" s="53">
        <f t="shared" si="10"/>
        <v>100</v>
      </c>
      <c r="EN22" s="51">
        <f t="shared" si="11"/>
        <v>-5786.2699999999995</v>
      </c>
      <c r="EP22" s="60">
        <f t="shared" si="12"/>
        <v>0</v>
      </c>
      <c r="EQ22" s="61">
        <f t="shared" si="13"/>
        <v>0</v>
      </c>
      <c r="ER22" s="15">
        <f t="shared" si="14"/>
        <v>0</v>
      </c>
      <c r="ES22" s="163">
        <f t="shared" si="15"/>
        <v>0</v>
      </c>
      <c r="EU22">
        <v>11</v>
      </c>
    </row>
    <row r="23" spans="1:151" x14ac:dyDescent="0.45">
      <c r="A23" s="67">
        <v>45413</v>
      </c>
      <c r="B23" s="25" t="s">
        <v>731</v>
      </c>
      <c r="C23" s="10" t="s">
        <v>187</v>
      </c>
      <c r="D23" s="7"/>
      <c r="E23" s="43"/>
      <c r="F23" s="43">
        <v>198.85</v>
      </c>
      <c r="G23" s="16">
        <f t="shared" si="1"/>
        <v>9308.7699999999986</v>
      </c>
      <c r="H23" s="64" t="s">
        <v>625</v>
      </c>
      <c r="I23" s="52"/>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53"/>
      <c r="AS23" s="52"/>
      <c r="AT23" s="43"/>
      <c r="AU23" s="43"/>
      <c r="AV23" s="43"/>
      <c r="AW23" s="43"/>
      <c r="AX23" s="43"/>
      <c r="AY23" s="43"/>
      <c r="AZ23" s="43">
        <v>198.85</v>
      </c>
      <c r="BA23" s="43"/>
      <c r="BB23" s="43"/>
      <c r="BC23" s="43"/>
      <c r="BD23" s="43"/>
      <c r="BE23" s="43"/>
      <c r="BF23" s="43"/>
      <c r="BG23" s="43"/>
      <c r="BH23" s="43"/>
      <c r="BI23" s="43"/>
      <c r="BJ23" s="43"/>
      <c r="BK23" s="43"/>
      <c r="BL23" s="43"/>
      <c r="BM23" s="43"/>
      <c r="BN23" s="43"/>
      <c r="BO23" s="43"/>
      <c r="BP23" s="43"/>
      <c r="BQ23" s="43"/>
      <c r="BR23" s="43"/>
      <c r="BS23" s="43"/>
      <c r="BT23" s="43"/>
      <c r="BU23" s="43"/>
      <c r="BV23" s="43"/>
      <c r="BW23" s="53"/>
      <c r="BX23" s="30">
        <f t="shared" si="0"/>
        <v>0</v>
      </c>
      <c r="BY23" s="52"/>
      <c r="BZ23" s="43"/>
      <c r="CA23" s="43"/>
      <c r="CB23" s="43"/>
      <c r="CC23" s="43"/>
      <c r="CD23" s="43"/>
      <c r="CE23" s="43"/>
      <c r="CF23" s="43"/>
      <c r="CG23" s="53"/>
      <c r="CH23" s="52">
        <v>40</v>
      </c>
      <c r="CI23" s="43"/>
      <c r="CJ23" s="43"/>
      <c r="CK23" s="43"/>
      <c r="CL23" s="43"/>
      <c r="CM23" s="43"/>
      <c r="CN23" s="43"/>
      <c r="CO23" s="43"/>
      <c r="CP23" s="43">
        <f>198.85-40</f>
        <v>158.85</v>
      </c>
      <c r="CQ23" s="43"/>
      <c r="CR23" s="43"/>
      <c r="CS23" s="43"/>
      <c r="CT23" s="43"/>
      <c r="CU23" s="43"/>
      <c r="CV23" s="43"/>
      <c r="CW23" s="43"/>
      <c r="CX23" s="43"/>
      <c r="CY23" s="43"/>
      <c r="CZ23" s="7"/>
      <c r="DA23" s="7"/>
      <c r="DB23" s="43"/>
      <c r="DC23" s="43"/>
      <c r="DD23" s="53"/>
      <c r="DE23" s="73">
        <f t="shared" si="2"/>
        <v>0</v>
      </c>
      <c r="DG23" s="52"/>
      <c r="DH23" s="43"/>
      <c r="DI23" s="50">
        <f t="shared" si="3"/>
        <v>4468.3599999999997</v>
      </c>
      <c r="DK23" s="52"/>
      <c r="DL23" s="43"/>
      <c r="DM23" s="50">
        <f t="shared" si="4"/>
        <v>2203.06</v>
      </c>
      <c r="DO23" s="52"/>
      <c r="DP23" s="43">
        <v>198.85</v>
      </c>
      <c r="DQ23" s="50">
        <f t="shared" si="5"/>
        <v>6546.4099999999989</v>
      </c>
      <c r="DT23" s="52"/>
      <c r="DU23" s="43"/>
      <c r="DV23" s="50">
        <f t="shared" si="6"/>
        <v>361.19</v>
      </c>
      <c r="DX23" s="52"/>
      <c r="DY23" s="43"/>
      <c r="DZ23" s="53">
        <f t="shared" si="7"/>
        <v>191.02</v>
      </c>
      <c r="EB23" s="52"/>
      <c r="EC23" s="43"/>
      <c r="ED23" s="53">
        <f t="shared" si="8"/>
        <v>0</v>
      </c>
      <c r="EF23" s="52"/>
      <c r="EG23" s="43"/>
      <c r="EH23" s="53">
        <f t="shared" si="9"/>
        <v>1225</v>
      </c>
      <c r="EJ23" s="65"/>
      <c r="EK23" s="7"/>
      <c r="EL23" s="53">
        <f t="shared" si="10"/>
        <v>100</v>
      </c>
      <c r="EN23" s="51">
        <f t="shared" si="11"/>
        <v>-5786.2699999999995</v>
      </c>
      <c r="EP23" s="60">
        <f t="shared" si="12"/>
        <v>0</v>
      </c>
      <c r="EQ23" s="61">
        <f t="shared" si="13"/>
        <v>0</v>
      </c>
      <c r="ER23" s="15">
        <f t="shared" si="14"/>
        <v>0</v>
      </c>
      <c r="ES23" s="62">
        <f t="shared" si="15"/>
        <v>0</v>
      </c>
      <c r="EU23" s="6">
        <v>12</v>
      </c>
    </row>
    <row r="24" spans="1:151" x14ac:dyDescent="0.45">
      <c r="A24" s="67">
        <v>45413</v>
      </c>
      <c r="B24" s="25" t="s">
        <v>732</v>
      </c>
      <c r="C24" s="10" t="s">
        <v>188</v>
      </c>
      <c r="D24" s="7"/>
      <c r="E24" s="43"/>
      <c r="F24" s="43">
        <v>185</v>
      </c>
      <c r="G24" s="16">
        <f t="shared" si="1"/>
        <v>9123.7699999999986</v>
      </c>
      <c r="H24" s="64" t="s">
        <v>625</v>
      </c>
      <c r="I24" s="52"/>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53"/>
      <c r="AS24" s="52"/>
      <c r="AT24" s="43"/>
      <c r="AU24" s="43"/>
      <c r="AV24" s="43"/>
      <c r="AW24" s="43"/>
      <c r="AX24" s="43">
        <f>185/3</f>
        <v>61.666666666666664</v>
      </c>
      <c r="AY24" s="43">
        <v>61.67</v>
      </c>
      <c r="AZ24" s="43">
        <v>61.66</v>
      </c>
      <c r="BA24" s="43"/>
      <c r="BB24" s="43"/>
      <c r="BC24" s="43"/>
      <c r="BD24" s="43"/>
      <c r="BE24" s="43"/>
      <c r="BF24" s="43"/>
      <c r="BG24" s="43"/>
      <c r="BH24" s="43"/>
      <c r="BI24" s="43"/>
      <c r="BJ24" s="43"/>
      <c r="BK24" s="43"/>
      <c r="BL24" s="43"/>
      <c r="BM24" s="43"/>
      <c r="BN24" s="43"/>
      <c r="BO24" s="43"/>
      <c r="BP24" s="43"/>
      <c r="BQ24" s="43"/>
      <c r="BR24" s="43"/>
      <c r="BS24" s="43"/>
      <c r="BT24" s="43"/>
      <c r="BU24" s="43"/>
      <c r="BV24" s="43"/>
      <c r="BW24" s="53"/>
      <c r="BX24" s="30">
        <f t="shared" si="0"/>
        <v>3.3333333333303017E-3</v>
      </c>
      <c r="BY24" s="52"/>
      <c r="BZ24" s="43"/>
      <c r="CA24" s="43"/>
      <c r="CB24" s="43"/>
      <c r="CC24" s="43"/>
      <c r="CD24" s="43"/>
      <c r="CE24" s="43"/>
      <c r="CF24" s="43"/>
      <c r="CG24" s="53"/>
      <c r="CH24" s="52"/>
      <c r="CI24" s="43"/>
      <c r="CJ24" s="43"/>
      <c r="CK24" s="43">
        <v>185</v>
      </c>
      <c r="CL24" s="43"/>
      <c r="CM24" s="43"/>
      <c r="CN24" s="43"/>
      <c r="CO24" s="43"/>
      <c r="CP24" s="43"/>
      <c r="CQ24" s="43"/>
      <c r="CR24" s="43"/>
      <c r="CS24" s="43"/>
      <c r="CT24" s="43"/>
      <c r="CU24" s="43"/>
      <c r="CV24" s="43"/>
      <c r="CW24" s="43"/>
      <c r="CX24" s="43"/>
      <c r="CY24" s="43"/>
      <c r="CZ24" s="7"/>
      <c r="DA24" s="7"/>
      <c r="DB24" s="43"/>
      <c r="DC24" s="43"/>
      <c r="DD24" s="53"/>
      <c r="DE24" s="73">
        <f t="shared" si="2"/>
        <v>0</v>
      </c>
      <c r="DG24" s="52"/>
      <c r="DH24" s="43">
        <v>61.67</v>
      </c>
      <c r="DI24" s="50">
        <f t="shared" si="3"/>
        <v>4406.6899999999996</v>
      </c>
      <c r="DK24" s="52"/>
      <c r="DL24" s="43">
        <v>61.67</v>
      </c>
      <c r="DM24" s="50">
        <f t="shared" si="4"/>
        <v>2141.39</v>
      </c>
      <c r="DO24" s="52"/>
      <c r="DP24" s="43">
        <v>61.66</v>
      </c>
      <c r="DQ24" s="50">
        <f t="shared" si="5"/>
        <v>6484.7499999999991</v>
      </c>
      <c r="DT24" s="52"/>
      <c r="DU24" s="43"/>
      <c r="DV24" s="50">
        <f t="shared" si="6"/>
        <v>361.19</v>
      </c>
      <c r="DX24" s="52"/>
      <c r="DY24" s="43"/>
      <c r="DZ24" s="53">
        <f t="shared" si="7"/>
        <v>191.02</v>
      </c>
      <c r="EB24" s="52"/>
      <c r="EC24" s="43"/>
      <c r="ED24" s="53">
        <f t="shared" si="8"/>
        <v>0</v>
      </c>
      <c r="EF24" s="52"/>
      <c r="EG24" s="43"/>
      <c r="EH24" s="53">
        <f t="shared" si="9"/>
        <v>1225</v>
      </c>
      <c r="EJ24" s="65"/>
      <c r="EK24" s="7"/>
      <c r="EL24" s="53">
        <f t="shared" si="10"/>
        <v>100</v>
      </c>
      <c r="EN24" s="51">
        <f t="shared" si="11"/>
        <v>-5786.2699999999995</v>
      </c>
      <c r="EP24" s="60">
        <f t="shared" si="12"/>
        <v>0</v>
      </c>
      <c r="EQ24" s="61">
        <f t="shared" si="13"/>
        <v>0</v>
      </c>
      <c r="ER24" s="15">
        <f t="shared" si="14"/>
        <v>0</v>
      </c>
      <c r="ES24" s="163">
        <f t="shared" si="15"/>
        <v>0</v>
      </c>
      <c r="EU24">
        <v>13</v>
      </c>
    </row>
    <row r="25" spans="1:151" x14ac:dyDescent="0.45">
      <c r="A25" s="67">
        <v>45413</v>
      </c>
      <c r="B25" s="25" t="s">
        <v>723</v>
      </c>
      <c r="C25" s="10" t="s">
        <v>733</v>
      </c>
      <c r="D25" s="7"/>
      <c r="E25" s="43">
        <v>75</v>
      </c>
      <c r="F25" s="43">
        <f>1.46+1.04</f>
        <v>2.5</v>
      </c>
      <c r="G25" s="16">
        <f t="shared" si="1"/>
        <v>9196.2699999999986</v>
      </c>
      <c r="H25" s="64" t="s">
        <v>625</v>
      </c>
      <c r="I25" s="52"/>
      <c r="J25" s="43"/>
      <c r="K25" s="43"/>
      <c r="L25" s="43"/>
      <c r="M25" s="43"/>
      <c r="N25" s="43"/>
      <c r="O25" s="43"/>
      <c r="P25" s="43"/>
      <c r="Q25" s="43"/>
      <c r="R25" s="43"/>
      <c r="S25" s="43"/>
      <c r="T25" s="43"/>
      <c r="U25" s="43"/>
      <c r="V25" s="43"/>
      <c r="W25" s="43"/>
      <c r="X25" s="43"/>
      <c r="Y25" s="43"/>
      <c r="Z25" s="43">
        <v>75</v>
      </c>
      <c r="AA25" s="43"/>
      <c r="AB25" s="43"/>
      <c r="AC25" s="43"/>
      <c r="AD25" s="43"/>
      <c r="AE25" s="43"/>
      <c r="AF25" s="43"/>
      <c r="AG25" s="43"/>
      <c r="AH25" s="43"/>
      <c r="AI25" s="43"/>
      <c r="AJ25" s="43"/>
      <c r="AK25" s="43"/>
      <c r="AL25" s="43"/>
      <c r="AM25" s="43"/>
      <c r="AN25" s="43"/>
      <c r="AO25" s="43"/>
      <c r="AP25" s="43"/>
      <c r="AQ25" s="43"/>
      <c r="AR25" s="53"/>
      <c r="AS25" s="52"/>
      <c r="AT25" s="43"/>
      <c r="AU25" s="43"/>
      <c r="AV25" s="43"/>
      <c r="AW25" s="43"/>
      <c r="AX25" s="43"/>
      <c r="AY25" s="43"/>
      <c r="AZ25" s="43">
        <v>2.5</v>
      </c>
      <c r="BA25" s="43"/>
      <c r="BB25" s="43"/>
      <c r="BC25" s="43"/>
      <c r="BD25" s="43"/>
      <c r="BE25" s="43"/>
      <c r="BF25" s="43"/>
      <c r="BG25" s="43"/>
      <c r="BH25" s="43"/>
      <c r="BI25" s="43"/>
      <c r="BJ25" s="43"/>
      <c r="BK25" s="43"/>
      <c r="BL25" s="43"/>
      <c r="BM25" s="43"/>
      <c r="BN25" s="43"/>
      <c r="BO25" s="43"/>
      <c r="BP25" s="43"/>
      <c r="BQ25" s="43"/>
      <c r="BR25" s="43"/>
      <c r="BS25" s="43"/>
      <c r="BT25" s="43"/>
      <c r="BU25" s="43"/>
      <c r="BV25" s="43"/>
      <c r="BW25" s="53"/>
      <c r="BX25" s="30">
        <f t="shared" si="0"/>
        <v>0</v>
      </c>
      <c r="BY25" s="52"/>
      <c r="BZ25" s="43"/>
      <c r="CA25" s="43">
        <v>75</v>
      </c>
      <c r="CB25" s="43"/>
      <c r="CC25" s="43"/>
      <c r="CD25" s="43"/>
      <c r="CE25" s="43"/>
      <c r="CF25" s="43"/>
      <c r="CG25" s="53"/>
      <c r="CH25" s="52"/>
      <c r="CI25" s="43"/>
      <c r="CJ25" s="43"/>
      <c r="CK25" s="43"/>
      <c r="CL25" s="43"/>
      <c r="CM25" s="43"/>
      <c r="CN25" s="43"/>
      <c r="CO25" s="43"/>
      <c r="CP25" s="43"/>
      <c r="CQ25" s="43"/>
      <c r="CR25" s="43"/>
      <c r="CS25" s="43"/>
      <c r="CT25" s="43"/>
      <c r="CU25" s="43"/>
      <c r="CV25" s="43"/>
      <c r="CW25" s="43"/>
      <c r="CX25" s="43"/>
      <c r="CY25" s="43"/>
      <c r="CZ25" s="7"/>
      <c r="DA25" s="7"/>
      <c r="DB25" s="43">
        <v>2.5</v>
      </c>
      <c r="DC25" s="43"/>
      <c r="DD25" s="53"/>
      <c r="DE25" s="73">
        <f t="shared" si="2"/>
        <v>0</v>
      </c>
      <c r="DG25" s="52"/>
      <c r="DH25" s="43"/>
      <c r="DI25" s="50">
        <f t="shared" si="3"/>
        <v>4406.6899999999996</v>
      </c>
      <c r="DK25" s="52"/>
      <c r="DL25" s="43"/>
      <c r="DM25" s="50">
        <f t="shared" si="4"/>
        <v>2141.39</v>
      </c>
      <c r="DO25" s="52">
        <v>75</v>
      </c>
      <c r="DP25" s="43">
        <v>2.5</v>
      </c>
      <c r="DQ25" s="50">
        <f t="shared" si="5"/>
        <v>6557.2499999999991</v>
      </c>
      <c r="DT25" s="52"/>
      <c r="DU25" s="43"/>
      <c r="DV25" s="50">
        <f t="shared" si="6"/>
        <v>361.19</v>
      </c>
      <c r="DX25" s="52"/>
      <c r="DY25" s="43"/>
      <c r="DZ25" s="53">
        <f t="shared" si="7"/>
        <v>191.02</v>
      </c>
      <c r="EB25" s="52"/>
      <c r="EC25" s="43"/>
      <c r="ED25" s="53">
        <f t="shared" si="8"/>
        <v>0</v>
      </c>
      <c r="EF25" s="52"/>
      <c r="EG25" s="43"/>
      <c r="EH25" s="53">
        <f t="shared" si="9"/>
        <v>1225</v>
      </c>
      <c r="EJ25" s="65"/>
      <c r="EK25" s="7"/>
      <c r="EL25" s="53">
        <f t="shared" si="10"/>
        <v>100</v>
      </c>
      <c r="EN25" s="51">
        <f t="shared" si="11"/>
        <v>-5786.2699999999995</v>
      </c>
      <c r="EP25" s="60">
        <f t="shared" si="12"/>
        <v>3.3333333333374071E-3</v>
      </c>
      <c r="EQ25" s="61">
        <f t="shared" si="13"/>
        <v>0</v>
      </c>
      <c r="ER25" s="15">
        <f t="shared" si="14"/>
        <v>0</v>
      </c>
      <c r="ES25" s="62">
        <f t="shared" si="15"/>
        <v>0</v>
      </c>
      <c r="EU25" s="6">
        <v>14</v>
      </c>
    </row>
    <row r="26" spans="1:151" x14ac:dyDescent="0.45">
      <c r="A26" s="67">
        <v>45413</v>
      </c>
      <c r="B26" s="25" t="s">
        <v>721</v>
      </c>
      <c r="C26" s="10" t="s">
        <v>724</v>
      </c>
      <c r="D26" s="7"/>
      <c r="E26" s="43">
        <v>37.5</v>
      </c>
      <c r="F26" s="43">
        <f>0.52+0.73</f>
        <v>1.25</v>
      </c>
      <c r="G26" s="16">
        <f t="shared" si="1"/>
        <v>9232.5199999999986</v>
      </c>
      <c r="H26" s="64" t="s">
        <v>625</v>
      </c>
      <c r="I26" s="52"/>
      <c r="J26" s="43"/>
      <c r="K26" s="43"/>
      <c r="L26" s="43"/>
      <c r="M26" s="43"/>
      <c r="N26" s="43"/>
      <c r="O26" s="43"/>
      <c r="P26" s="43"/>
      <c r="Q26" s="43"/>
      <c r="R26" s="43"/>
      <c r="S26" s="43"/>
      <c r="T26" s="43"/>
      <c r="U26" s="43"/>
      <c r="V26" s="43"/>
      <c r="W26" s="43"/>
      <c r="X26" s="43"/>
      <c r="Y26" s="43"/>
      <c r="Z26" s="43">
        <v>37.5</v>
      </c>
      <c r="AA26" s="43"/>
      <c r="AB26" s="43"/>
      <c r="AC26" s="43"/>
      <c r="AD26" s="43"/>
      <c r="AE26" s="43"/>
      <c r="AF26" s="43"/>
      <c r="AG26" s="43"/>
      <c r="AH26" s="43"/>
      <c r="AI26" s="43"/>
      <c r="AJ26" s="43"/>
      <c r="AK26" s="43"/>
      <c r="AL26" s="43"/>
      <c r="AM26" s="43"/>
      <c r="AN26" s="43"/>
      <c r="AO26" s="43"/>
      <c r="AP26" s="43"/>
      <c r="AQ26" s="43"/>
      <c r="AR26" s="53"/>
      <c r="AS26" s="52"/>
      <c r="AT26" s="43"/>
      <c r="AU26" s="43"/>
      <c r="AV26" s="43"/>
      <c r="AW26" s="43"/>
      <c r="AX26" s="43"/>
      <c r="AY26" s="43"/>
      <c r="AZ26" s="43">
        <v>1.25</v>
      </c>
      <c r="BA26" s="43"/>
      <c r="BB26" s="43"/>
      <c r="BC26" s="43"/>
      <c r="BD26" s="43"/>
      <c r="BE26" s="43"/>
      <c r="BF26" s="43"/>
      <c r="BG26" s="43"/>
      <c r="BH26" s="43"/>
      <c r="BI26" s="43"/>
      <c r="BJ26" s="43"/>
      <c r="BK26" s="43"/>
      <c r="BL26" s="43"/>
      <c r="BM26" s="43"/>
      <c r="BN26" s="43"/>
      <c r="BO26" s="43"/>
      <c r="BP26" s="43"/>
      <c r="BQ26" s="43"/>
      <c r="BR26" s="43"/>
      <c r="BS26" s="43"/>
      <c r="BT26" s="43"/>
      <c r="BU26" s="43"/>
      <c r="BV26" s="43"/>
      <c r="BW26" s="53"/>
      <c r="BX26" s="30">
        <f t="shared" si="0"/>
        <v>0</v>
      </c>
      <c r="BY26" s="52"/>
      <c r="BZ26" s="43"/>
      <c r="CA26" s="43">
        <v>37.5</v>
      </c>
      <c r="CB26" s="43"/>
      <c r="CC26" s="43"/>
      <c r="CD26" s="43"/>
      <c r="CE26" s="43"/>
      <c r="CF26" s="43"/>
      <c r="CG26" s="53"/>
      <c r="CH26" s="52"/>
      <c r="CI26" s="43"/>
      <c r="CJ26" s="43"/>
      <c r="CK26" s="43"/>
      <c r="CL26" s="43"/>
      <c r="CM26" s="43"/>
      <c r="CN26" s="43"/>
      <c r="CO26" s="43"/>
      <c r="CP26" s="43"/>
      <c r="CQ26" s="43"/>
      <c r="CR26" s="43"/>
      <c r="CS26" s="43"/>
      <c r="CT26" s="43"/>
      <c r="CU26" s="43"/>
      <c r="CV26" s="43"/>
      <c r="CW26" s="43"/>
      <c r="CX26" s="43"/>
      <c r="CY26" s="43"/>
      <c r="CZ26" s="7"/>
      <c r="DA26" s="7"/>
      <c r="DB26" s="43">
        <v>1.25</v>
      </c>
      <c r="DC26" s="43"/>
      <c r="DD26" s="53"/>
      <c r="DE26" s="73">
        <f t="shared" si="2"/>
        <v>0</v>
      </c>
      <c r="DG26" s="52"/>
      <c r="DH26" s="43"/>
      <c r="DI26" s="50">
        <f t="shared" si="3"/>
        <v>4406.6899999999996</v>
      </c>
      <c r="DK26" s="52"/>
      <c r="DL26" s="43"/>
      <c r="DM26" s="50">
        <f t="shared" si="4"/>
        <v>2141.39</v>
      </c>
      <c r="DO26" s="52">
        <v>37.5</v>
      </c>
      <c r="DP26" s="43">
        <v>1.25</v>
      </c>
      <c r="DQ26" s="50">
        <f t="shared" si="5"/>
        <v>6593.4999999999991</v>
      </c>
      <c r="DT26" s="52"/>
      <c r="DU26" s="43"/>
      <c r="DV26" s="50">
        <f t="shared" si="6"/>
        <v>361.19</v>
      </c>
      <c r="DX26" s="52"/>
      <c r="DY26" s="43"/>
      <c r="DZ26" s="53">
        <f t="shared" si="7"/>
        <v>191.02</v>
      </c>
      <c r="EB26" s="52"/>
      <c r="EC26" s="43"/>
      <c r="ED26" s="53">
        <f t="shared" si="8"/>
        <v>0</v>
      </c>
      <c r="EF26" s="52"/>
      <c r="EG26" s="43"/>
      <c r="EH26" s="53">
        <f t="shared" si="9"/>
        <v>1225</v>
      </c>
      <c r="EJ26" s="65"/>
      <c r="EK26" s="7"/>
      <c r="EL26" s="53">
        <f t="shared" si="10"/>
        <v>100</v>
      </c>
      <c r="EN26" s="51">
        <f t="shared" si="11"/>
        <v>-5786.2699999999995</v>
      </c>
      <c r="EP26" s="60">
        <f t="shared" si="12"/>
        <v>0</v>
      </c>
      <c r="EQ26" s="61">
        <f t="shared" si="13"/>
        <v>0</v>
      </c>
      <c r="ER26" s="15">
        <f t="shared" si="14"/>
        <v>0</v>
      </c>
      <c r="ES26" s="163">
        <f t="shared" si="15"/>
        <v>0</v>
      </c>
      <c r="EU26">
        <v>15</v>
      </c>
    </row>
    <row r="27" spans="1:151" x14ac:dyDescent="0.45">
      <c r="A27" s="67">
        <v>45414</v>
      </c>
      <c r="B27" s="25" t="s">
        <v>726</v>
      </c>
      <c r="C27" s="10" t="s">
        <v>735</v>
      </c>
      <c r="D27" s="7"/>
      <c r="E27" s="43">
        <v>112.5</v>
      </c>
      <c r="F27" s="43">
        <f>2.19+1.56</f>
        <v>3.75</v>
      </c>
      <c r="G27" s="16">
        <f t="shared" si="1"/>
        <v>9341.2699999999986</v>
      </c>
      <c r="H27" s="64" t="s">
        <v>625</v>
      </c>
      <c r="I27" s="52"/>
      <c r="J27" s="43"/>
      <c r="K27" s="43"/>
      <c r="L27" s="43"/>
      <c r="M27" s="43"/>
      <c r="N27" s="43"/>
      <c r="O27" s="43"/>
      <c r="P27" s="43"/>
      <c r="Q27" s="43"/>
      <c r="R27" s="43"/>
      <c r="S27" s="43"/>
      <c r="T27" s="43"/>
      <c r="U27" s="43"/>
      <c r="V27" s="43"/>
      <c r="W27" s="43"/>
      <c r="X27" s="43">
        <v>112.5</v>
      </c>
      <c r="Y27" s="43"/>
      <c r="Z27" s="43"/>
      <c r="AA27" s="43"/>
      <c r="AB27" s="43"/>
      <c r="AC27" s="43"/>
      <c r="AD27" s="43"/>
      <c r="AE27" s="43"/>
      <c r="AF27" s="43"/>
      <c r="AG27" s="43"/>
      <c r="AH27" s="43"/>
      <c r="AI27" s="43"/>
      <c r="AJ27" s="43"/>
      <c r="AK27" s="43"/>
      <c r="AL27" s="43"/>
      <c r="AM27" s="43"/>
      <c r="AN27" s="43"/>
      <c r="AO27" s="43"/>
      <c r="AP27" s="43"/>
      <c r="AQ27" s="43"/>
      <c r="AR27" s="53"/>
      <c r="AS27" s="52"/>
      <c r="AT27" s="43"/>
      <c r="AU27" s="43"/>
      <c r="AV27" s="43"/>
      <c r="AW27" s="43"/>
      <c r="AX27" s="43">
        <v>3.75</v>
      </c>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53"/>
      <c r="BX27" s="30">
        <f t="shared" si="0"/>
        <v>0</v>
      </c>
      <c r="BY27" s="52"/>
      <c r="BZ27" s="43"/>
      <c r="CA27" s="43">
        <v>112.5</v>
      </c>
      <c r="CB27" s="43"/>
      <c r="CC27" s="43"/>
      <c r="CD27" s="43"/>
      <c r="CE27" s="43"/>
      <c r="CF27" s="43"/>
      <c r="CG27" s="53"/>
      <c r="CH27" s="52"/>
      <c r="CI27" s="43"/>
      <c r="CJ27" s="43"/>
      <c r="CK27" s="43"/>
      <c r="CL27" s="43"/>
      <c r="CM27" s="43"/>
      <c r="CN27" s="43"/>
      <c r="CO27" s="43"/>
      <c r="CP27" s="43"/>
      <c r="CQ27" s="43"/>
      <c r="CR27" s="43"/>
      <c r="CS27" s="43"/>
      <c r="CT27" s="43"/>
      <c r="CU27" s="43"/>
      <c r="CV27" s="43"/>
      <c r="CW27" s="43"/>
      <c r="CX27" s="43"/>
      <c r="CY27" s="43"/>
      <c r="CZ27" s="7"/>
      <c r="DA27" s="7"/>
      <c r="DB27" s="43">
        <v>3.75</v>
      </c>
      <c r="DC27" s="43"/>
      <c r="DD27" s="53"/>
      <c r="DE27" s="73">
        <f t="shared" si="2"/>
        <v>0</v>
      </c>
      <c r="DG27" s="52">
        <v>112.5</v>
      </c>
      <c r="DH27" s="43">
        <v>3.75</v>
      </c>
      <c r="DI27" s="50">
        <f t="shared" si="3"/>
        <v>4515.4399999999996</v>
      </c>
      <c r="DK27" s="52"/>
      <c r="DL27" s="43"/>
      <c r="DM27" s="50">
        <f t="shared" si="4"/>
        <v>2141.39</v>
      </c>
      <c r="DO27" s="52"/>
      <c r="DP27" s="43"/>
      <c r="DQ27" s="50">
        <f t="shared" si="5"/>
        <v>6593.4999999999991</v>
      </c>
      <c r="DT27" s="52"/>
      <c r="DU27" s="43"/>
      <c r="DV27" s="50">
        <f t="shared" si="6"/>
        <v>361.19</v>
      </c>
      <c r="DX27" s="52"/>
      <c r="DY27" s="43"/>
      <c r="DZ27" s="53">
        <f t="shared" si="7"/>
        <v>191.02</v>
      </c>
      <c r="EB27" s="52"/>
      <c r="EC27" s="43"/>
      <c r="ED27" s="53">
        <f t="shared" si="8"/>
        <v>0</v>
      </c>
      <c r="EF27" s="52"/>
      <c r="EG27" s="43"/>
      <c r="EH27" s="53">
        <f t="shared" si="9"/>
        <v>1225</v>
      </c>
      <c r="EJ27" s="65"/>
      <c r="EK27" s="7"/>
      <c r="EL27" s="53">
        <f t="shared" si="10"/>
        <v>100</v>
      </c>
      <c r="EN27" s="51">
        <f t="shared" si="11"/>
        <v>-5786.2699999999995</v>
      </c>
      <c r="EP27" s="60">
        <f t="shared" si="12"/>
        <v>0</v>
      </c>
      <c r="EQ27" s="61">
        <f t="shared" si="13"/>
        <v>0</v>
      </c>
      <c r="ER27" s="15">
        <f t="shared" si="14"/>
        <v>0</v>
      </c>
      <c r="ES27" s="62">
        <f t="shared" si="15"/>
        <v>0</v>
      </c>
      <c r="EU27" s="6">
        <v>16</v>
      </c>
    </row>
    <row r="28" spans="1:151" x14ac:dyDescent="0.45">
      <c r="A28" s="67">
        <v>45414</v>
      </c>
      <c r="B28" s="25" t="s">
        <v>728</v>
      </c>
      <c r="C28" s="10" t="s">
        <v>736</v>
      </c>
      <c r="D28" s="7"/>
      <c r="E28" s="43">
        <v>37.5</v>
      </c>
      <c r="F28" s="43">
        <f>0.73+0.52</f>
        <v>1.25</v>
      </c>
      <c r="G28" s="16">
        <f t="shared" si="1"/>
        <v>9377.5199999999986</v>
      </c>
      <c r="H28" s="64" t="s">
        <v>625</v>
      </c>
      <c r="I28" s="52"/>
      <c r="J28" s="43"/>
      <c r="K28" s="43"/>
      <c r="L28" s="43"/>
      <c r="M28" s="43"/>
      <c r="N28" s="43"/>
      <c r="O28" s="43"/>
      <c r="P28" s="43"/>
      <c r="Q28" s="43"/>
      <c r="R28" s="43"/>
      <c r="S28" s="43"/>
      <c r="T28" s="43"/>
      <c r="U28" s="43"/>
      <c r="V28" s="43"/>
      <c r="W28" s="43"/>
      <c r="X28" s="43"/>
      <c r="Y28" s="43">
        <v>37.5</v>
      </c>
      <c r="Z28" s="43"/>
      <c r="AA28" s="43"/>
      <c r="AB28" s="43"/>
      <c r="AC28" s="43"/>
      <c r="AD28" s="43"/>
      <c r="AE28" s="43"/>
      <c r="AF28" s="43"/>
      <c r="AG28" s="43"/>
      <c r="AH28" s="43"/>
      <c r="AI28" s="43"/>
      <c r="AJ28" s="43"/>
      <c r="AK28" s="43"/>
      <c r="AL28" s="43"/>
      <c r="AM28" s="43"/>
      <c r="AN28" s="43"/>
      <c r="AO28" s="43"/>
      <c r="AP28" s="43"/>
      <c r="AQ28" s="43"/>
      <c r="AR28" s="53"/>
      <c r="AS28" s="52"/>
      <c r="AT28" s="43"/>
      <c r="AU28" s="43"/>
      <c r="AV28" s="43"/>
      <c r="AW28" s="43"/>
      <c r="AX28" s="43"/>
      <c r="AY28" s="43">
        <v>1.25</v>
      </c>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53"/>
      <c r="BX28" s="30">
        <f t="shared" si="0"/>
        <v>0</v>
      </c>
      <c r="BY28" s="52"/>
      <c r="BZ28" s="43"/>
      <c r="CA28" s="43">
        <v>37.5</v>
      </c>
      <c r="CB28" s="43"/>
      <c r="CC28" s="43"/>
      <c r="CD28" s="43"/>
      <c r="CE28" s="43"/>
      <c r="CF28" s="43"/>
      <c r="CG28" s="53"/>
      <c r="CH28" s="52"/>
      <c r="CI28" s="43"/>
      <c r="CJ28" s="43"/>
      <c r="CK28" s="43"/>
      <c r="CL28" s="43"/>
      <c r="CM28" s="43"/>
      <c r="CN28" s="43"/>
      <c r="CO28" s="43"/>
      <c r="CP28" s="43"/>
      <c r="CQ28" s="43"/>
      <c r="CR28" s="43"/>
      <c r="CS28" s="43"/>
      <c r="CT28" s="43"/>
      <c r="CU28" s="43"/>
      <c r="CV28" s="43"/>
      <c r="CW28" s="43"/>
      <c r="CX28" s="43"/>
      <c r="CY28" s="43"/>
      <c r="CZ28" s="7"/>
      <c r="DA28" s="7"/>
      <c r="DB28" s="43">
        <v>1.25</v>
      </c>
      <c r="DC28" s="43"/>
      <c r="DD28" s="53"/>
      <c r="DE28" s="73">
        <f t="shared" si="2"/>
        <v>0</v>
      </c>
      <c r="DG28" s="52"/>
      <c r="DH28" s="43"/>
      <c r="DI28" s="50">
        <f t="shared" si="3"/>
        <v>4515.4399999999996</v>
      </c>
      <c r="DK28" s="52">
        <v>37.5</v>
      </c>
      <c r="DL28" s="43">
        <v>1.25</v>
      </c>
      <c r="DM28" s="50">
        <f t="shared" si="4"/>
        <v>2177.64</v>
      </c>
      <c r="DO28" s="52"/>
      <c r="DP28" s="43"/>
      <c r="DQ28" s="50">
        <f t="shared" si="5"/>
        <v>6593.4999999999991</v>
      </c>
      <c r="DT28" s="52"/>
      <c r="DU28" s="43"/>
      <c r="DV28" s="50">
        <f t="shared" si="6"/>
        <v>361.19</v>
      </c>
      <c r="DX28" s="52"/>
      <c r="DY28" s="43"/>
      <c r="DZ28" s="53">
        <f t="shared" si="7"/>
        <v>191.02</v>
      </c>
      <c r="EB28" s="52"/>
      <c r="EC28" s="43"/>
      <c r="ED28" s="53">
        <f t="shared" si="8"/>
        <v>0</v>
      </c>
      <c r="EF28" s="52"/>
      <c r="EG28" s="43"/>
      <c r="EH28" s="53">
        <f t="shared" si="9"/>
        <v>1225</v>
      </c>
      <c r="EJ28" s="65"/>
      <c r="EK28" s="7"/>
      <c r="EL28" s="53">
        <f t="shared" si="10"/>
        <v>100</v>
      </c>
      <c r="EN28" s="51">
        <f t="shared" si="11"/>
        <v>-5786.2699999999995</v>
      </c>
      <c r="EP28" s="60">
        <f t="shared" si="12"/>
        <v>0</v>
      </c>
      <c r="EQ28" s="61">
        <f t="shared" si="13"/>
        <v>0</v>
      </c>
      <c r="ER28" s="15">
        <f t="shared" si="14"/>
        <v>0</v>
      </c>
      <c r="ES28" s="163">
        <f t="shared" si="15"/>
        <v>0</v>
      </c>
      <c r="EU28">
        <v>17</v>
      </c>
    </row>
    <row r="29" spans="1:151" x14ac:dyDescent="0.45">
      <c r="A29" s="67">
        <v>45415</v>
      </c>
      <c r="B29" s="25" t="s">
        <v>726</v>
      </c>
      <c r="C29" s="10" t="s">
        <v>737</v>
      </c>
      <c r="D29" s="7"/>
      <c r="E29" s="43">
        <v>37.5</v>
      </c>
      <c r="F29" s="43">
        <v>1.25</v>
      </c>
      <c r="G29" s="16">
        <f t="shared" si="1"/>
        <v>9413.7699999999986</v>
      </c>
      <c r="H29" s="64" t="s">
        <v>625</v>
      </c>
      <c r="I29" s="52"/>
      <c r="J29" s="43"/>
      <c r="K29" s="43"/>
      <c r="L29" s="43"/>
      <c r="M29" s="43"/>
      <c r="N29" s="43"/>
      <c r="O29" s="43"/>
      <c r="P29" s="43"/>
      <c r="Q29" s="43"/>
      <c r="R29" s="43"/>
      <c r="S29" s="43"/>
      <c r="T29" s="43"/>
      <c r="U29" s="43"/>
      <c r="V29" s="43"/>
      <c r="W29" s="43"/>
      <c r="X29" s="43">
        <v>37.5</v>
      </c>
      <c r="Y29" s="43"/>
      <c r="Z29" s="43"/>
      <c r="AA29" s="43"/>
      <c r="AB29" s="43"/>
      <c r="AC29" s="43"/>
      <c r="AD29" s="43"/>
      <c r="AE29" s="43"/>
      <c r="AF29" s="43"/>
      <c r="AG29" s="43"/>
      <c r="AH29" s="43"/>
      <c r="AI29" s="43"/>
      <c r="AJ29" s="43"/>
      <c r="AK29" s="43"/>
      <c r="AL29" s="43"/>
      <c r="AM29" s="43"/>
      <c r="AN29" s="43"/>
      <c r="AO29" s="43"/>
      <c r="AP29" s="43"/>
      <c r="AQ29" s="43"/>
      <c r="AR29" s="53"/>
      <c r="AS29" s="52"/>
      <c r="AT29" s="43"/>
      <c r="AU29" s="43"/>
      <c r="AV29" s="43"/>
      <c r="AW29" s="43"/>
      <c r="AX29" s="43">
        <v>1.25</v>
      </c>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53"/>
      <c r="BX29" s="30">
        <f t="shared" si="0"/>
        <v>0</v>
      </c>
      <c r="BY29" s="52"/>
      <c r="BZ29" s="43"/>
      <c r="CA29" s="43">
        <v>37.5</v>
      </c>
      <c r="CB29" s="43"/>
      <c r="CC29" s="43"/>
      <c r="CD29" s="43"/>
      <c r="CE29" s="43"/>
      <c r="CF29" s="43"/>
      <c r="CG29" s="53"/>
      <c r="CH29" s="52"/>
      <c r="CI29" s="43"/>
      <c r="CJ29" s="43"/>
      <c r="CK29" s="43"/>
      <c r="CL29" s="43"/>
      <c r="CM29" s="43"/>
      <c r="CN29" s="43"/>
      <c r="CO29" s="43"/>
      <c r="CP29" s="43"/>
      <c r="CQ29" s="43"/>
      <c r="CR29" s="43"/>
      <c r="CS29" s="43"/>
      <c r="CT29" s="43"/>
      <c r="CU29" s="43"/>
      <c r="CV29" s="43"/>
      <c r="CW29" s="43"/>
      <c r="CX29" s="43"/>
      <c r="CY29" s="43"/>
      <c r="CZ29" s="7"/>
      <c r="DA29" s="7"/>
      <c r="DB29" s="43">
        <v>1.25</v>
      </c>
      <c r="DC29" s="43"/>
      <c r="DD29" s="53"/>
      <c r="DE29" s="73">
        <f t="shared" si="2"/>
        <v>0</v>
      </c>
      <c r="DG29" s="52">
        <v>37.5</v>
      </c>
      <c r="DH29" s="43">
        <v>1.25</v>
      </c>
      <c r="DI29" s="50">
        <f t="shared" si="3"/>
        <v>4551.6899999999996</v>
      </c>
      <c r="DK29" s="52"/>
      <c r="DL29" s="43"/>
      <c r="DM29" s="50">
        <f t="shared" si="4"/>
        <v>2177.64</v>
      </c>
      <c r="DO29" s="52"/>
      <c r="DP29" s="43"/>
      <c r="DQ29" s="50">
        <f t="shared" si="5"/>
        <v>6593.4999999999991</v>
      </c>
      <c r="DT29" s="52"/>
      <c r="DU29" s="43"/>
      <c r="DV29" s="50">
        <f t="shared" si="6"/>
        <v>361.19</v>
      </c>
      <c r="DX29" s="52"/>
      <c r="DY29" s="43"/>
      <c r="DZ29" s="53">
        <f t="shared" si="7"/>
        <v>191.02</v>
      </c>
      <c r="EB29" s="52"/>
      <c r="EC29" s="43"/>
      <c r="ED29" s="53">
        <f t="shared" si="8"/>
        <v>0</v>
      </c>
      <c r="EF29" s="52"/>
      <c r="EG29" s="43"/>
      <c r="EH29" s="53">
        <f t="shared" si="9"/>
        <v>1225</v>
      </c>
      <c r="EJ29" s="65"/>
      <c r="EK29" s="7"/>
      <c r="EL29" s="53">
        <f t="shared" si="10"/>
        <v>100</v>
      </c>
      <c r="EN29" s="51">
        <f t="shared" si="11"/>
        <v>-5786.2699999999995</v>
      </c>
      <c r="EP29" s="60">
        <f t="shared" si="12"/>
        <v>0</v>
      </c>
      <c r="EQ29" s="61">
        <f t="shared" si="13"/>
        <v>0</v>
      </c>
      <c r="ER29" s="15">
        <f t="shared" si="14"/>
        <v>0</v>
      </c>
      <c r="ES29" s="62">
        <f t="shared" si="15"/>
        <v>0</v>
      </c>
      <c r="EU29" s="6">
        <v>18</v>
      </c>
    </row>
    <row r="30" spans="1:151" x14ac:dyDescent="0.45">
      <c r="A30" s="67">
        <v>45419</v>
      </c>
      <c r="B30" s="25" t="s">
        <v>728</v>
      </c>
      <c r="C30" s="10" t="s">
        <v>738</v>
      </c>
      <c r="D30" s="7"/>
      <c r="E30" s="43">
        <v>37.5</v>
      </c>
      <c r="F30" s="43">
        <v>1.25</v>
      </c>
      <c r="G30" s="16">
        <f t="shared" si="1"/>
        <v>9450.0199999999986</v>
      </c>
      <c r="H30" s="64" t="s">
        <v>625</v>
      </c>
      <c r="I30" s="52"/>
      <c r="J30" s="43"/>
      <c r="K30" s="43"/>
      <c r="L30" s="43"/>
      <c r="M30" s="43"/>
      <c r="N30" s="43"/>
      <c r="O30" s="43"/>
      <c r="P30" s="43"/>
      <c r="Q30" s="43"/>
      <c r="R30" s="43"/>
      <c r="S30" s="43"/>
      <c r="T30" s="43"/>
      <c r="U30" s="43"/>
      <c r="V30" s="43"/>
      <c r="W30" s="43"/>
      <c r="X30" s="43"/>
      <c r="Y30" s="43">
        <v>37.5</v>
      </c>
      <c r="Z30" s="43"/>
      <c r="AA30" s="43"/>
      <c r="AB30" s="43"/>
      <c r="AC30" s="43"/>
      <c r="AD30" s="43"/>
      <c r="AE30" s="43"/>
      <c r="AF30" s="43"/>
      <c r="AG30" s="43"/>
      <c r="AH30" s="43"/>
      <c r="AI30" s="43"/>
      <c r="AJ30" s="43"/>
      <c r="AK30" s="43"/>
      <c r="AL30" s="43"/>
      <c r="AM30" s="43"/>
      <c r="AN30" s="43"/>
      <c r="AO30" s="43"/>
      <c r="AP30" s="43"/>
      <c r="AQ30" s="43"/>
      <c r="AR30" s="53"/>
      <c r="AS30" s="52"/>
      <c r="AT30" s="43"/>
      <c r="AU30" s="43"/>
      <c r="AV30" s="43"/>
      <c r="AW30" s="43"/>
      <c r="AX30" s="43"/>
      <c r="AY30" s="43">
        <v>1.25</v>
      </c>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53"/>
      <c r="BX30" s="30">
        <f t="shared" si="0"/>
        <v>0</v>
      </c>
      <c r="BY30" s="52"/>
      <c r="BZ30" s="43"/>
      <c r="CA30" s="43">
        <v>37.5</v>
      </c>
      <c r="CB30" s="43"/>
      <c r="CC30" s="43"/>
      <c r="CD30" s="43"/>
      <c r="CE30" s="43"/>
      <c r="CF30" s="43"/>
      <c r="CG30" s="53"/>
      <c r="CH30" s="52"/>
      <c r="CI30" s="43"/>
      <c r="CJ30" s="43"/>
      <c r="CK30" s="43"/>
      <c r="CL30" s="43"/>
      <c r="CM30" s="43"/>
      <c r="CN30" s="43"/>
      <c r="CO30" s="43"/>
      <c r="CP30" s="43"/>
      <c r="CQ30" s="43"/>
      <c r="CR30" s="43"/>
      <c r="CS30" s="43"/>
      <c r="CT30" s="43"/>
      <c r="CU30" s="43"/>
      <c r="CV30" s="43"/>
      <c r="CW30" s="43"/>
      <c r="CX30" s="43"/>
      <c r="CY30" s="43"/>
      <c r="CZ30" s="7"/>
      <c r="DA30" s="7"/>
      <c r="DB30" s="43">
        <v>1.25</v>
      </c>
      <c r="DC30" s="43"/>
      <c r="DD30" s="53"/>
      <c r="DE30" s="73">
        <f t="shared" si="2"/>
        <v>0</v>
      </c>
      <c r="DG30" s="52"/>
      <c r="DH30" s="43"/>
      <c r="DI30" s="50">
        <f t="shared" si="3"/>
        <v>4551.6899999999996</v>
      </c>
      <c r="DK30" s="52">
        <v>37.5</v>
      </c>
      <c r="DL30" s="43">
        <v>1.25</v>
      </c>
      <c r="DM30" s="50">
        <f t="shared" si="4"/>
        <v>2213.89</v>
      </c>
      <c r="DO30" s="52"/>
      <c r="DP30" s="43"/>
      <c r="DQ30" s="50">
        <f t="shared" si="5"/>
        <v>6593.4999999999991</v>
      </c>
      <c r="DT30" s="52"/>
      <c r="DU30" s="43"/>
      <c r="DV30" s="50">
        <f t="shared" si="6"/>
        <v>361.19</v>
      </c>
      <c r="DX30" s="52"/>
      <c r="DY30" s="43"/>
      <c r="DZ30" s="53">
        <f t="shared" si="7"/>
        <v>191.02</v>
      </c>
      <c r="EB30" s="52"/>
      <c r="EC30" s="43"/>
      <c r="ED30" s="53">
        <f t="shared" si="8"/>
        <v>0</v>
      </c>
      <c r="EF30" s="52"/>
      <c r="EG30" s="43"/>
      <c r="EH30" s="53">
        <f t="shared" si="9"/>
        <v>1225</v>
      </c>
      <c r="EJ30" s="65"/>
      <c r="EK30" s="7"/>
      <c r="EL30" s="53">
        <f t="shared" si="10"/>
        <v>100</v>
      </c>
      <c r="EN30" s="51">
        <f t="shared" si="11"/>
        <v>-5786.2699999999995</v>
      </c>
      <c r="EP30" s="60">
        <f t="shared" si="12"/>
        <v>0</v>
      </c>
      <c r="EQ30" s="61">
        <f t="shared" si="13"/>
        <v>0</v>
      </c>
      <c r="ER30" s="15">
        <f t="shared" si="14"/>
        <v>0</v>
      </c>
      <c r="ES30" s="163">
        <f t="shared" si="15"/>
        <v>0</v>
      </c>
      <c r="EU30">
        <v>19</v>
      </c>
    </row>
    <row r="31" spans="1:151" x14ac:dyDescent="0.45">
      <c r="A31" s="67">
        <v>45422</v>
      </c>
      <c r="B31" s="25" t="s">
        <v>739</v>
      </c>
      <c r="C31" s="10" t="s">
        <v>189</v>
      </c>
      <c r="D31" s="7"/>
      <c r="E31" s="43"/>
      <c r="F31" s="43">
        <v>370</v>
      </c>
      <c r="G31" s="16">
        <f t="shared" si="1"/>
        <v>9080.0199999999986</v>
      </c>
      <c r="H31" s="64" t="s">
        <v>625</v>
      </c>
      <c r="I31" s="52"/>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53"/>
      <c r="AS31" s="52"/>
      <c r="AT31" s="43"/>
      <c r="AU31" s="43"/>
      <c r="AV31" s="43"/>
      <c r="AW31" s="43"/>
      <c r="AX31" s="43"/>
      <c r="AY31" s="43"/>
      <c r="AZ31" s="43"/>
      <c r="BA31" s="43"/>
      <c r="BB31" s="43">
        <v>370</v>
      </c>
      <c r="BC31" s="43"/>
      <c r="BD31" s="43"/>
      <c r="BE31" s="43"/>
      <c r="BF31" s="43"/>
      <c r="BG31" s="43"/>
      <c r="BH31" s="43"/>
      <c r="BI31" s="43"/>
      <c r="BJ31" s="43"/>
      <c r="BK31" s="43"/>
      <c r="BL31" s="43"/>
      <c r="BM31" s="43"/>
      <c r="BN31" s="43"/>
      <c r="BO31" s="43"/>
      <c r="BP31" s="43"/>
      <c r="BQ31" s="43"/>
      <c r="BR31" s="43"/>
      <c r="BS31" s="43"/>
      <c r="BT31" s="43"/>
      <c r="BU31" s="43"/>
      <c r="BV31" s="43"/>
      <c r="BW31" s="53"/>
      <c r="BX31" s="30">
        <f t="shared" si="0"/>
        <v>0</v>
      </c>
      <c r="BY31" s="52"/>
      <c r="BZ31" s="43"/>
      <c r="CA31" s="43"/>
      <c r="CB31" s="43"/>
      <c r="CC31" s="43"/>
      <c r="CD31" s="43"/>
      <c r="CE31" s="43"/>
      <c r="CF31" s="43"/>
      <c r="CG31" s="53"/>
      <c r="CH31" s="52"/>
      <c r="CI31" s="43"/>
      <c r="CJ31" s="43"/>
      <c r="CK31" s="43"/>
      <c r="CL31" s="43"/>
      <c r="CM31" s="43"/>
      <c r="CN31" s="43"/>
      <c r="CO31" s="43"/>
      <c r="CP31" s="43"/>
      <c r="CQ31" s="43"/>
      <c r="CR31" s="43"/>
      <c r="CS31" s="43"/>
      <c r="CT31" s="43"/>
      <c r="CU31" s="43"/>
      <c r="CV31" s="43"/>
      <c r="CW31" s="43"/>
      <c r="CX31" s="43"/>
      <c r="CY31" s="43"/>
      <c r="CZ31" s="7"/>
      <c r="DA31" s="7"/>
      <c r="DB31" s="43"/>
      <c r="DC31" s="43"/>
      <c r="DD31" s="53">
        <v>370</v>
      </c>
      <c r="DE31" s="73">
        <f t="shared" si="2"/>
        <v>0</v>
      </c>
      <c r="DG31" s="52"/>
      <c r="DH31" s="43"/>
      <c r="DI31" s="50">
        <f t="shared" si="3"/>
        <v>4551.6899999999996</v>
      </c>
      <c r="DK31" s="52"/>
      <c r="DL31" s="43"/>
      <c r="DM31" s="50">
        <f t="shared" si="4"/>
        <v>2213.89</v>
      </c>
      <c r="DO31" s="52"/>
      <c r="DP31" s="43"/>
      <c r="DQ31" s="50">
        <f t="shared" si="5"/>
        <v>6593.4999999999991</v>
      </c>
      <c r="DT31" s="52"/>
      <c r="DU31" s="43"/>
      <c r="DV31" s="50">
        <f t="shared" si="6"/>
        <v>361.19</v>
      </c>
      <c r="DX31" s="52"/>
      <c r="DY31" s="43">
        <v>370</v>
      </c>
      <c r="DZ31" s="53">
        <f t="shared" si="7"/>
        <v>-178.98</v>
      </c>
      <c r="EB31" s="52"/>
      <c r="EC31" s="43"/>
      <c r="ED31" s="53">
        <f t="shared" si="8"/>
        <v>0</v>
      </c>
      <c r="EF31" s="52"/>
      <c r="EG31" s="43"/>
      <c r="EH31" s="53">
        <f t="shared" si="9"/>
        <v>1225</v>
      </c>
      <c r="EJ31" s="65"/>
      <c r="EK31" s="7"/>
      <c r="EL31" s="53">
        <f t="shared" si="10"/>
        <v>100</v>
      </c>
      <c r="EN31" s="51">
        <f t="shared" si="11"/>
        <v>-5786.2699999999995</v>
      </c>
      <c r="EP31" s="60">
        <f t="shared" si="12"/>
        <v>0</v>
      </c>
      <c r="EQ31" s="61">
        <f t="shared" si="13"/>
        <v>0</v>
      </c>
      <c r="ER31" s="15">
        <f t="shared" si="14"/>
        <v>0</v>
      </c>
      <c r="ES31" s="62">
        <f t="shared" si="15"/>
        <v>0</v>
      </c>
      <c r="ET31" t="s">
        <v>1005</v>
      </c>
      <c r="EU31" s="6">
        <v>20</v>
      </c>
    </row>
    <row r="32" spans="1:151" x14ac:dyDescent="0.45">
      <c r="A32" s="67">
        <v>45422</v>
      </c>
      <c r="B32" s="25" t="s">
        <v>740</v>
      </c>
      <c r="C32" s="10" t="s">
        <v>190</v>
      </c>
      <c r="D32" s="7"/>
      <c r="E32" s="43"/>
      <c r="F32" s="43">
        <v>490</v>
      </c>
      <c r="G32" s="16">
        <f t="shared" si="1"/>
        <v>8590.0199999999986</v>
      </c>
      <c r="H32" s="64" t="s">
        <v>625</v>
      </c>
      <c r="I32" s="52"/>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53"/>
      <c r="AS32" s="52"/>
      <c r="AT32" s="43"/>
      <c r="AU32" s="43"/>
      <c r="AV32" s="43"/>
      <c r="AW32" s="43"/>
      <c r="AX32" s="43"/>
      <c r="AY32" s="43">
        <v>490</v>
      </c>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53"/>
      <c r="BX32" s="30">
        <f t="shared" si="0"/>
        <v>0</v>
      </c>
      <c r="BY32" s="52"/>
      <c r="BZ32" s="43"/>
      <c r="CA32" s="43"/>
      <c r="CB32" s="43"/>
      <c r="CC32" s="43"/>
      <c r="CD32" s="43"/>
      <c r="CE32" s="43"/>
      <c r="CF32" s="43"/>
      <c r="CG32" s="53"/>
      <c r="CH32" s="52"/>
      <c r="CI32" s="43"/>
      <c r="CJ32" s="43"/>
      <c r="CK32" s="43"/>
      <c r="CL32" s="43"/>
      <c r="CM32" s="43"/>
      <c r="CN32" s="43"/>
      <c r="CO32" s="43"/>
      <c r="CP32" s="43">
        <v>490</v>
      </c>
      <c r="CQ32" s="43"/>
      <c r="CR32" s="43"/>
      <c r="CS32" s="43"/>
      <c r="CT32" s="43"/>
      <c r="CU32" s="43"/>
      <c r="CV32" s="43"/>
      <c r="CW32" s="43"/>
      <c r="CX32" s="43"/>
      <c r="CY32" s="43"/>
      <c r="CZ32" s="7"/>
      <c r="DA32" s="7"/>
      <c r="DB32" s="43"/>
      <c r="DC32" s="43"/>
      <c r="DD32" s="53"/>
      <c r="DE32" s="73">
        <f t="shared" si="2"/>
        <v>0</v>
      </c>
      <c r="DG32" s="52"/>
      <c r="DH32" s="43"/>
      <c r="DI32" s="50">
        <f t="shared" si="3"/>
        <v>4551.6899999999996</v>
      </c>
      <c r="DK32" s="52"/>
      <c r="DL32" s="43">
        <v>490</v>
      </c>
      <c r="DM32" s="50">
        <f t="shared" si="4"/>
        <v>1723.8899999999999</v>
      </c>
      <c r="DO32" s="52"/>
      <c r="DP32" s="43"/>
      <c r="DQ32" s="50">
        <f t="shared" si="5"/>
        <v>6593.4999999999991</v>
      </c>
      <c r="DT32" s="52"/>
      <c r="DU32" s="43"/>
      <c r="DV32" s="50">
        <f t="shared" si="6"/>
        <v>361.19</v>
      </c>
      <c r="DX32" s="52"/>
      <c r="DY32" s="43"/>
      <c r="DZ32" s="53">
        <f t="shared" si="7"/>
        <v>-178.98</v>
      </c>
      <c r="EB32" s="52"/>
      <c r="EC32" s="43"/>
      <c r="ED32" s="53">
        <f t="shared" si="8"/>
        <v>0</v>
      </c>
      <c r="EF32" s="52"/>
      <c r="EG32" s="43"/>
      <c r="EH32" s="53">
        <f t="shared" si="9"/>
        <v>1225</v>
      </c>
      <c r="EJ32" s="65"/>
      <c r="EK32" s="7"/>
      <c r="EL32" s="53">
        <f t="shared" si="10"/>
        <v>100</v>
      </c>
      <c r="EN32" s="51">
        <f t="shared" si="11"/>
        <v>-5786.2699999999995</v>
      </c>
      <c r="EP32" s="60">
        <f t="shared" si="12"/>
        <v>0</v>
      </c>
      <c r="EQ32" s="61">
        <f t="shared" si="13"/>
        <v>0</v>
      </c>
      <c r="ER32" s="15">
        <f t="shared" si="14"/>
        <v>0</v>
      </c>
      <c r="ES32" s="163">
        <f t="shared" si="15"/>
        <v>0</v>
      </c>
      <c r="ET32" t="s">
        <v>1005</v>
      </c>
      <c r="EU32">
        <v>21</v>
      </c>
    </row>
    <row r="33" spans="1:151" x14ac:dyDescent="0.45">
      <c r="A33" s="67">
        <v>45422</v>
      </c>
      <c r="B33" s="25" t="s">
        <v>741</v>
      </c>
      <c r="C33" s="10" t="s">
        <v>191</v>
      </c>
      <c r="D33" s="7"/>
      <c r="E33" s="43"/>
      <c r="F33" s="43">
        <v>507.5</v>
      </c>
      <c r="G33" s="16">
        <f t="shared" si="1"/>
        <v>8082.5199999999986</v>
      </c>
      <c r="H33" s="64" t="s">
        <v>625</v>
      </c>
      <c r="I33" s="52"/>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53"/>
      <c r="AS33" s="52"/>
      <c r="AT33" s="43"/>
      <c r="AU33" s="43"/>
      <c r="AV33" s="43"/>
      <c r="AW33" s="43"/>
      <c r="AX33" s="43"/>
      <c r="AY33" s="43">
        <v>507.5</v>
      </c>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53"/>
      <c r="BX33" s="30">
        <f t="shared" si="0"/>
        <v>0</v>
      </c>
      <c r="BY33" s="52"/>
      <c r="BZ33" s="43"/>
      <c r="CA33" s="43"/>
      <c r="CB33" s="43"/>
      <c r="CC33" s="43"/>
      <c r="CD33" s="43"/>
      <c r="CE33" s="43"/>
      <c r="CF33" s="43"/>
      <c r="CG33" s="53"/>
      <c r="CH33" s="52"/>
      <c r="CI33" s="43"/>
      <c r="CJ33" s="43"/>
      <c r="CK33" s="43"/>
      <c r="CL33" s="43"/>
      <c r="CM33" s="43"/>
      <c r="CN33" s="43"/>
      <c r="CO33" s="43"/>
      <c r="CP33" s="43">
        <v>507.5</v>
      </c>
      <c r="CQ33" s="43"/>
      <c r="CR33" s="43"/>
      <c r="CS33" s="43"/>
      <c r="CT33" s="43"/>
      <c r="CU33" s="43"/>
      <c r="CV33" s="43"/>
      <c r="CW33" s="43"/>
      <c r="CX33" s="43"/>
      <c r="CY33" s="43"/>
      <c r="CZ33" s="7"/>
      <c r="DA33" s="7"/>
      <c r="DB33" s="43"/>
      <c r="DC33" s="43"/>
      <c r="DD33" s="53"/>
      <c r="DE33" s="73">
        <f t="shared" si="2"/>
        <v>0</v>
      </c>
      <c r="DG33" s="52"/>
      <c r="DH33" s="43"/>
      <c r="DI33" s="50">
        <f t="shared" si="3"/>
        <v>4551.6899999999996</v>
      </c>
      <c r="DK33" s="52"/>
      <c r="DL33" s="43">
        <v>507.5</v>
      </c>
      <c r="DM33" s="50">
        <f t="shared" si="4"/>
        <v>1216.3899999999999</v>
      </c>
      <c r="DO33" s="52"/>
      <c r="DP33" s="43"/>
      <c r="DQ33" s="50">
        <f t="shared" si="5"/>
        <v>6593.4999999999991</v>
      </c>
      <c r="DT33" s="52"/>
      <c r="DU33" s="43"/>
      <c r="DV33" s="50">
        <f t="shared" si="6"/>
        <v>361.19</v>
      </c>
      <c r="DX33" s="52"/>
      <c r="DY33" s="43"/>
      <c r="DZ33" s="53">
        <f t="shared" si="7"/>
        <v>-178.98</v>
      </c>
      <c r="EB33" s="52"/>
      <c r="EC33" s="43"/>
      <c r="ED33" s="53">
        <f t="shared" si="8"/>
        <v>0</v>
      </c>
      <c r="EF33" s="52"/>
      <c r="EG33" s="43"/>
      <c r="EH33" s="53">
        <f t="shared" si="9"/>
        <v>1225</v>
      </c>
      <c r="EJ33" s="65"/>
      <c r="EK33" s="7"/>
      <c r="EL33" s="53">
        <f t="shared" si="10"/>
        <v>100</v>
      </c>
      <c r="EN33" s="51">
        <f t="shared" si="11"/>
        <v>-5786.2699999999995</v>
      </c>
      <c r="EP33" s="60">
        <f t="shared" si="12"/>
        <v>0</v>
      </c>
      <c r="EQ33" s="61">
        <f t="shared" si="13"/>
        <v>0</v>
      </c>
      <c r="ER33" s="15">
        <f t="shared" si="14"/>
        <v>0</v>
      </c>
      <c r="ES33" s="62">
        <f t="shared" si="15"/>
        <v>0</v>
      </c>
      <c r="ET33" t="s">
        <v>1005</v>
      </c>
      <c r="EU33" s="6">
        <v>22</v>
      </c>
    </row>
    <row r="34" spans="1:151" x14ac:dyDescent="0.45">
      <c r="A34" s="67">
        <v>45425</v>
      </c>
      <c r="B34" s="25" t="s">
        <v>742</v>
      </c>
      <c r="C34" s="10" t="s">
        <v>729</v>
      </c>
      <c r="D34" s="7"/>
      <c r="E34" s="43">
        <v>360</v>
      </c>
      <c r="F34" s="43">
        <f>4.86+7.02</f>
        <v>11.879999999999999</v>
      </c>
      <c r="G34" s="16">
        <f t="shared" si="1"/>
        <v>8430.64</v>
      </c>
      <c r="H34" s="64" t="s">
        <v>625</v>
      </c>
      <c r="I34" s="52"/>
      <c r="J34" s="43"/>
      <c r="K34" s="43"/>
      <c r="L34" s="43"/>
      <c r="M34" s="43"/>
      <c r="N34" s="43"/>
      <c r="O34" s="43"/>
      <c r="P34" s="43"/>
      <c r="Q34" s="43"/>
      <c r="R34" s="43"/>
      <c r="S34" s="43"/>
      <c r="T34" s="43"/>
      <c r="U34" s="43"/>
      <c r="V34" s="43"/>
      <c r="W34" s="43"/>
      <c r="X34" s="43"/>
      <c r="Y34" s="43"/>
      <c r="Z34" s="43">
        <v>360</v>
      </c>
      <c r="AA34" s="43"/>
      <c r="AB34" s="43"/>
      <c r="AC34" s="43"/>
      <c r="AD34" s="43"/>
      <c r="AE34" s="43"/>
      <c r="AF34" s="43"/>
      <c r="AG34" s="43"/>
      <c r="AH34" s="43"/>
      <c r="AI34" s="43"/>
      <c r="AJ34" s="43"/>
      <c r="AK34" s="43"/>
      <c r="AL34" s="43"/>
      <c r="AM34" s="43"/>
      <c r="AN34" s="43"/>
      <c r="AO34" s="43"/>
      <c r="AP34" s="43"/>
      <c r="AQ34" s="43"/>
      <c r="AR34" s="53"/>
      <c r="AS34" s="52"/>
      <c r="AT34" s="43"/>
      <c r="AU34" s="43"/>
      <c r="AV34" s="43"/>
      <c r="AW34" s="43"/>
      <c r="AX34" s="43"/>
      <c r="AY34" s="43"/>
      <c r="AZ34" s="43">
        <v>11.88</v>
      </c>
      <c r="BA34" s="43"/>
      <c r="BB34" s="43"/>
      <c r="BC34" s="43"/>
      <c r="BD34" s="43"/>
      <c r="BE34" s="43"/>
      <c r="BF34" s="43"/>
      <c r="BG34" s="43"/>
      <c r="BH34" s="43"/>
      <c r="BI34" s="43"/>
      <c r="BJ34" s="43"/>
      <c r="BK34" s="43"/>
      <c r="BL34" s="43"/>
      <c r="BM34" s="43"/>
      <c r="BN34" s="43"/>
      <c r="BO34" s="43"/>
      <c r="BP34" s="43"/>
      <c r="BQ34" s="43"/>
      <c r="BR34" s="43"/>
      <c r="BS34" s="43"/>
      <c r="BT34" s="43"/>
      <c r="BU34" s="43"/>
      <c r="BV34" s="43"/>
      <c r="BW34" s="53"/>
      <c r="BX34" s="30">
        <f t="shared" si="0"/>
        <v>0</v>
      </c>
      <c r="BY34" s="52"/>
      <c r="BZ34" s="43">
        <v>360</v>
      </c>
      <c r="CA34" s="43"/>
      <c r="CB34" s="43"/>
      <c r="CC34" s="43"/>
      <c r="CD34" s="43"/>
      <c r="CE34" s="43"/>
      <c r="CF34" s="43"/>
      <c r="CG34" s="53"/>
      <c r="CH34" s="52"/>
      <c r="CI34" s="43"/>
      <c r="CJ34" s="43"/>
      <c r="CK34" s="43"/>
      <c r="CL34" s="43"/>
      <c r="CM34" s="43"/>
      <c r="CN34" s="43"/>
      <c r="CO34" s="43"/>
      <c r="CP34" s="43"/>
      <c r="CQ34" s="43"/>
      <c r="CR34" s="43"/>
      <c r="CS34" s="43"/>
      <c r="CT34" s="43"/>
      <c r="CU34" s="43"/>
      <c r="CV34" s="43"/>
      <c r="CW34" s="43"/>
      <c r="CX34" s="43"/>
      <c r="CY34" s="43"/>
      <c r="CZ34" s="7"/>
      <c r="DA34" s="7"/>
      <c r="DB34" s="43">
        <v>11.88</v>
      </c>
      <c r="DC34" s="43"/>
      <c r="DD34" s="53"/>
      <c r="DE34" s="73">
        <f t="shared" si="2"/>
        <v>0</v>
      </c>
      <c r="DG34" s="52"/>
      <c r="DH34" s="43"/>
      <c r="DI34" s="50">
        <f t="shared" si="3"/>
        <v>4551.6899999999996</v>
      </c>
      <c r="DK34" s="52"/>
      <c r="DL34" s="43"/>
      <c r="DM34" s="50">
        <f t="shared" si="4"/>
        <v>1216.3899999999999</v>
      </c>
      <c r="DO34" s="52">
        <v>360</v>
      </c>
      <c r="DP34" s="43">
        <v>11.88</v>
      </c>
      <c r="DQ34" s="50">
        <f t="shared" si="5"/>
        <v>6941.619999999999</v>
      </c>
      <c r="DT34" s="52"/>
      <c r="DU34" s="43"/>
      <c r="DV34" s="50">
        <f t="shared" si="6"/>
        <v>361.19</v>
      </c>
      <c r="DX34" s="52"/>
      <c r="DY34" s="43"/>
      <c r="DZ34" s="53">
        <f t="shared" si="7"/>
        <v>-178.98</v>
      </c>
      <c r="EB34" s="52"/>
      <c r="EC34" s="43"/>
      <c r="ED34" s="53">
        <f t="shared" si="8"/>
        <v>0</v>
      </c>
      <c r="EF34" s="52"/>
      <c r="EG34" s="43"/>
      <c r="EH34" s="53">
        <f t="shared" si="9"/>
        <v>1225</v>
      </c>
      <c r="EJ34" s="65"/>
      <c r="EK34" s="7"/>
      <c r="EL34" s="53">
        <f t="shared" si="10"/>
        <v>100</v>
      </c>
      <c r="EN34" s="51">
        <f t="shared" si="11"/>
        <v>-5786.2699999999995</v>
      </c>
      <c r="EP34" s="60">
        <f t="shared" si="12"/>
        <v>0</v>
      </c>
      <c r="EQ34" s="61">
        <f t="shared" si="13"/>
        <v>0</v>
      </c>
      <c r="ER34" s="15">
        <f t="shared" si="14"/>
        <v>0</v>
      </c>
      <c r="ES34" s="163">
        <f t="shared" si="15"/>
        <v>0</v>
      </c>
      <c r="EU34">
        <v>23</v>
      </c>
    </row>
    <row r="35" spans="1:151" x14ac:dyDescent="0.45">
      <c r="A35" s="67">
        <v>45425</v>
      </c>
      <c r="B35" s="25" t="s">
        <v>745</v>
      </c>
      <c r="C35" s="10" t="s">
        <v>698</v>
      </c>
      <c r="D35" s="7"/>
      <c r="E35" s="43">
        <v>40</v>
      </c>
      <c r="F35" s="43">
        <f>0.54+0.78</f>
        <v>1.32</v>
      </c>
      <c r="G35" s="16">
        <f t="shared" si="1"/>
        <v>8469.32</v>
      </c>
      <c r="H35" s="64" t="s">
        <v>625</v>
      </c>
      <c r="I35" s="52"/>
      <c r="J35" s="43"/>
      <c r="K35" s="43"/>
      <c r="L35" s="43"/>
      <c r="M35" s="43"/>
      <c r="N35" s="43"/>
      <c r="O35" s="43"/>
      <c r="P35" s="43"/>
      <c r="Q35" s="43"/>
      <c r="R35" s="43"/>
      <c r="S35" s="43"/>
      <c r="T35" s="43"/>
      <c r="U35" s="43"/>
      <c r="V35" s="43"/>
      <c r="W35" s="43"/>
      <c r="X35" s="43"/>
      <c r="Y35" s="43">
        <v>40</v>
      </c>
      <c r="Z35" s="43"/>
      <c r="AA35" s="43"/>
      <c r="AB35" s="43"/>
      <c r="AC35" s="43"/>
      <c r="AD35" s="43"/>
      <c r="AE35" s="43"/>
      <c r="AF35" s="43"/>
      <c r="AG35" s="43"/>
      <c r="AH35" s="43"/>
      <c r="AI35" s="43"/>
      <c r="AJ35" s="43"/>
      <c r="AK35" s="43"/>
      <c r="AL35" s="43"/>
      <c r="AM35" s="43"/>
      <c r="AN35" s="43"/>
      <c r="AO35" s="43"/>
      <c r="AP35" s="43"/>
      <c r="AQ35" s="43"/>
      <c r="AR35" s="53"/>
      <c r="AS35" s="52"/>
      <c r="AT35" s="43"/>
      <c r="AU35" s="43"/>
      <c r="AV35" s="43"/>
      <c r="AW35" s="43"/>
      <c r="AX35" s="43"/>
      <c r="AY35" s="43">
        <v>1.32</v>
      </c>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53"/>
      <c r="BX35" s="30">
        <f t="shared" si="0"/>
        <v>0</v>
      </c>
      <c r="BY35" s="52"/>
      <c r="BZ35" s="43">
        <v>40</v>
      </c>
      <c r="CA35" s="43"/>
      <c r="CB35" s="43"/>
      <c r="CC35" s="43"/>
      <c r="CD35" s="43"/>
      <c r="CE35" s="43"/>
      <c r="CF35" s="43"/>
      <c r="CG35" s="53"/>
      <c r="CH35" s="52"/>
      <c r="CI35" s="43"/>
      <c r="CJ35" s="43"/>
      <c r="CK35" s="43"/>
      <c r="CL35" s="43"/>
      <c r="CM35" s="43"/>
      <c r="CN35" s="43"/>
      <c r="CO35" s="43"/>
      <c r="CP35" s="43"/>
      <c r="CQ35" s="43"/>
      <c r="CR35" s="43"/>
      <c r="CS35" s="43"/>
      <c r="CT35" s="43"/>
      <c r="CU35" s="43"/>
      <c r="CV35" s="43"/>
      <c r="CW35" s="43"/>
      <c r="CX35" s="43"/>
      <c r="CY35" s="43"/>
      <c r="CZ35" s="7"/>
      <c r="DA35" s="7"/>
      <c r="DB35" s="43">
        <v>1.32</v>
      </c>
      <c r="DC35" s="43"/>
      <c r="DD35" s="53"/>
      <c r="DE35" s="73">
        <f t="shared" si="2"/>
        <v>0</v>
      </c>
      <c r="DG35" s="52"/>
      <c r="DH35" s="43"/>
      <c r="DI35" s="50">
        <f t="shared" si="3"/>
        <v>4551.6899999999996</v>
      </c>
      <c r="DK35" s="52">
        <v>40</v>
      </c>
      <c r="DL35" s="43">
        <v>1.32</v>
      </c>
      <c r="DM35" s="50">
        <f t="shared" si="4"/>
        <v>1255.07</v>
      </c>
      <c r="DO35" s="52"/>
      <c r="DP35" s="43"/>
      <c r="DQ35" s="50">
        <f t="shared" si="5"/>
        <v>6941.619999999999</v>
      </c>
      <c r="DT35" s="52"/>
      <c r="DU35" s="43"/>
      <c r="DV35" s="50">
        <f t="shared" si="6"/>
        <v>361.19</v>
      </c>
      <c r="DX35" s="52"/>
      <c r="DY35" s="43"/>
      <c r="DZ35" s="53">
        <f t="shared" si="7"/>
        <v>-178.98</v>
      </c>
      <c r="EB35" s="52"/>
      <c r="EC35" s="43"/>
      <c r="ED35" s="53">
        <f t="shared" si="8"/>
        <v>0</v>
      </c>
      <c r="EF35" s="52"/>
      <c r="EG35" s="43"/>
      <c r="EH35" s="53">
        <f t="shared" si="9"/>
        <v>1225</v>
      </c>
      <c r="EJ35" s="65"/>
      <c r="EK35" s="7"/>
      <c r="EL35" s="53">
        <f t="shared" si="10"/>
        <v>100</v>
      </c>
      <c r="EN35" s="51">
        <f t="shared" si="11"/>
        <v>-5786.2699999999986</v>
      </c>
      <c r="EP35" s="60">
        <f t="shared" si="12"/>
        <v>0</v>
      </c>
      <c r="EQ35" s="61">
        <f t="shared" si="13"/>
        <v>0</v>
      </c>
      <c r="ER35" s="15">
        <f t="shared" si="14"/>
        <v>0</v>
      </c>
      <c r="ES35" s="62">
        <f t="shared" si="15"/>
        <v>0</v>
      </c>
      <c r="EU35" s="6">
        <v>24</v>
      </c>
    </row>
    <row r="36" spans="1:151" x14ac:dyDescent="0.45">
      <c r="A36" s="67">
        <v>45425</v>
      </c>
      <c r="B36" s="25" t="s">
        <v>746</v>
      </c>
      <c r="C36" s="10" t="s">
        <v>696</v>
      </c>
      <c r="D36" s="7"/>
      <c r="E36" s="43">
        <v>320</v>
      </c>
      <c r="F36" s="43">
        <f>4.32+6.24</f>
        <v>10.56</v>
      </c>
      <c r="G36" s="16">
        <f t="shared" si="1"/>
        <v>8778.76</v>
      </c>
      <c r="H36" s="64" t="s">
        <v>625</v>
      </c>
      <c r="I36" s="52"/>
      <c r="J36" s="43"/>
      <c r="K36" s="43"/>
      <c r="L36" s="43"/>
      <c r="M36" s="43"/>
      <c r="N36" s="43"/>
      <c r="O36" s="43"/>
      <c r="P36" s="43"/>
      <c r="Q36" s="43"/>
      <c r="R36" s="43"/>
      <c r="S36" s="43"/>
      <c r="T36" s="43"/>
      <c r="U36" s="43"/>
      <c r="V36" s="43"/>
      <c r="W36" s="43"/>
      <c r="X36" s="43"/>
      <c r="Y36" s="43"/>
      <c r="Z36" s="43">
        <v>320</v>
      </c>
      <c r="AA36" s="43"/>
      <c r="AB36" s="43"/>
      <c r="AC36" s="43"/>
      <c r="AD36" s="43"/>
      <c r="AE36" s="43"/>
      <c r="AF36" s="43"/>
      <c r="AG36" s="43"/>
      <c r="AH36" s="43"/>
      <c r="AI36" s="43"/>
      <c r="AJ36" s="43"/>
      <c r="AK36" s="43"/>
      <c r="AL36" s="43"/>
      <c r="AM36" s="43"/>
      <c r="AN36" s="43"/>
      <c r="AO36" s="43"/>
      <c r="AP36" s="43"/>
      <c r="AQ36" s="43"/>
      <c r="AR36" s="53"/>
      <c r="AS36" s="52"/>
      <c r="AT36" s="43"/>
      <c r="AU36" s="43"/>
      <c r="AV36" s="43"/>
      <c r="AW36" s="43"/>
      <c r="AX36" s="43"/>
      <c r="AY36" s="43"/>
      <c r="AZ36" s="43">
        <v>10.56</v>
      </c>
      <c r="BA36" s="43"/>
      <c r="BB36" s="43"/>
      <c r="BC36" s="43"/>
      <c r="BD36" s="43"/>
      <c r="BE36" s="43"/>
      <c r="BF36" s="43"/>
      <c r="BG36" s="43"/>
      <c r="BH36" s="43"/>
      <c r="BI36" s="43"/>
      <c r="BJ36" s="43"/>
      <c r="BK36" s="43"/>
      <c r="BL36" s="43"/>
      <c r="BM36" s="43"/>
      <c r="BN36" s="43"/>
      <c r="BO36" s="43"/>
      <c r="BP36" s="43"/>
      <c r="BQ36" s="43"/>
      <c r="BR36" s="43"/>
      <c r="BS36" s="43"/>
      <c r="BT36" s="43"/>
      <c r="BU36" s="43"/>
      <c r="BV36" s="43"/>
      <c r="BW36" s="53"/>
      <c r="BX36" s="30">
        <f t="shared" si="0"/>
        <v>0</v>
      </c>
      <c r="BY36" s="52"/>
      <c r="BZ36" s="43">
        <v>320</v>
      </c>
      <c r="CA36" s="43"/>
      <c r="CB36" s="43"/>
      <c r="CC36" s="43"/>
      <c r="CD36" s="43"/>
      <c r="CE36" s="43"/>
      <c r="CF36" s="43"/>
      <c r="CG36" s="53"/>
      <c r="CH36" s="52"/>
      <c r="CI36" s="43"/>
      <c r="CJ36" s="43"/>
      <c r="CK36" s="43"/>
      <c r="CL36" s="43"/>
      <c r="CM36" s="43"/>
      <c r="CN36" s="43"/>
      <c r="CO36" s="43"/>
      <c r="CP36" s="43"/>
      <c r="CQ36" s="43"/>
      <c r="CR36" s="43"/>
      <c r="CS36" s="43"/>
      <c r="CT36" s="43"/>
      <c r="CU36" s="43"/>
      <c r="CV36" s="43"/>
      <c r="CW36" s="43"/>
      <c r="CX36" s="43"/>
      <c r="CY36" s="43"/>
      <c r="CZ36" s="7"/>
      <c r="DA36" s="7"/>
      <c r="DB36" s="43">
        <v>10.56</v>
      </c>
      <c r="DC36" s="43"/>
      <c r="DD36" s="53"/>
      <c r="DE36" s="73">
        <f t="shared" si="2"/>
        <v>0</v>
      </c>
      <c r="DG36" s="52"/>
      <c r="DH36" s="43"/>
      <c r="DI36" s="50">
        <f t="shared" si="3"/>
        <v>4551.6899999999996</v>
      </c>
      <c r="DK36" s="52"/>
      <c r="DL36" s="43"/>
      <c r="DM36" s="50">
        <f t="shared" si="4"/>
        <v>1255.07</v>
      </c>
      <c r="DO36" s="52">
        <v>320</v>
      </c>
      <c r="DP36" s="43">
        <v>10.56</v>
      </c>
      <c r="DQ36" s="50">
        <f t="shared" si="5"/>
        <v>7251.0599999999986</v>
      </c>
      <c r="DT36" s="52"/>
      <c r="DU36" s="43"/>
      <c r="DV36" s="50">
        <f t="shared" si="6"/>
        <v>361.19</v>
      </c>
      <c r="DX36" s="52"/>
      <c r="DY36" s="43"/>
      <c r="DZ36" s="53">
        <f t="shared" si="7"/>
        <v>-178.98</v>
      </c>
      <c r="EB36" s="52"/>
      <c r="EC36" s="43"/>
      <c r="ED36" s="53">
        <f t="shared" si="8"/>
        <v>0</v>
      </c>
      <c r="EF36" s="52"/>
      <c r="EG36" s="43"/>
      <c r="EH36" s="53">
        <f t="shared" si="9"/>
        <v>1225</v>
      </c>
      <c r="EJ36" s="65"/>
      <c r="EK36" s="7"/>
      <c r="EL36" s="53">
        <f t="shared" si="10"/>
        <v>100</v>
      </c>
      <c r="EN36" s="51">
        <f t="shared" si="11"/>
        <v>-5786.2699999999977</v>
      </c>
      <c r="EP36" s="60">
        <f t="shared" si="12"/>
        <v>0</v>
      </c>
      <c r="EQ36" s="61">
        <f t="shared" si="13"/>
        <v>0</v>
      </c>
      <c r="ER36" s="15">
        <f t="shared" si="14"/>
        <v>0</v>
      </c>
      <c r="ES36" s="163">
        <f t="shared" si="15"/>
        <v>0</v>
      </c>
      <c r="EU36">
        <v>25</v>
      </c>
    </row>
    <row r="37" spans="1:151" x14ac:dyDescent="0.45">
      <c r="A37" s="67">
        <v>45425</v>
      </c>
      <c r="B37" s="25" t="s">
        <v>747</v>
      </c>
      <c r="C37" s="10" t="s">
        <v>719</v>
      </c>
      <c r="D37" s="7"/>
      <c r="E37" s="43">
        <v>960</v>
      </c>
      <c r="F37" s="43">
        <f>12.96+18.72</f>
        <v>31.68</v>
      </c>
      <c r="G37" s="16">
        <f t="shared" si="1"/>
        <v>9707.08</v>
      </c>
      <c r="H37" s="64" t="s">
        <v>625</v>
      </c>
      <c r="I37" s="52"/>
      <c r="J37" s="43"/>
      <c r="K37" s="43"/>
      <c r="L37" s="43"/>
      <c r="M37" s="43"/>
      <c r="N37" s="43"/>
      <c r="O37" s="43"/>
      <c r="P37" s="43"/>
      <c r="Q37" s="43"/>
      <c r="R37" s="43"/>
      <c r="S37" s="43"/>
      <c r="T37" s="43"/>
      <c r="U37" s="43"/>
      <c r="V37" s="43"/>
      <c r="W37" s="43"/>
      <c r="X37" s="43">
        <v>960</v>
      </c>
      <c r="Y37" s="43"/>
      <c r="Z37" s="43"/>
      <c r="AA37" s="43"/>
      <c r="AB37" s="43"/>
      <c r="AC37" s="43"/>
      <c r="AD37" s="43"/>
      <c r="AE37" s="43"/>
      <c r="AF37" s="43"/>
      <c r="AG37" s="43"/>
      <c r="AH37" s="43"/>
      <c r="AI37" s="43"/>
      <c r="AJ37" s="43"/>
      <c r="AK37" s="43"/>
      <c r="AL37" s="43"/>
      <c r="AM37" s="43"/>
      <c r="AN37" s="43"/>
      <c r="AO37" s="43"/>
      <c r="AP37" s="43"/>
      <c r="AQ37" s="43"/>
      <c r="AR37" s="53"/>
      <c r="AS37" s="52"/>
      <c r="AT37" s="43"/>
      <c r="AU37" s="43"/>
      <c r="AV37" s="43"/>
      <c r="AW37" s="43"/>
      <c r="AX37" s="43">
        <v>31.68</v>
      </c>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53"/>
      <c r="BX37" s="30">
        <f t="shared" si="0"/>
        <v>0</v>
      </c>
      <c r="BY37" s="52"/>
      <c r="BZ37" s="43">
        <v>960</v>
      </c>
      <c r="CA37" s="43"/>
      <c r="CB37" s="43"/>
      <c r="CC37" s="43"/>
      <c r="CD37" s="43"/>
      <c r="CE37" s="43"/>
      <c r="CF37" s="43"/>
      <c r="CG37" s="53"/>
      <c r="CH37" s="52"/>
      <c r="CI37" s="43"/>
      <c r="CJ37" s="43"/>
      <c r="CK37" s="43"/>
      <c r="CL37" s="43"/>
      <c r="CM37" s="43"/>
      <c r="CN37" s="43"/>
      <c r="CO37" s="43"/>
      <c r="CP37" s="43"/>
      <c r="CQ37" s="43"/>
      <c r="CR37" s="43"/>
      <c r="CS37" s="43"/>
      <c r="CT37" s="43"/>
      <c r="CU37" s="43"/>
      <c r="CV37" s="43"/>
      <c r="CW37" s="43"/>
      <c r="CX37" s="43"/>
      <c r="CY37" s="43"/>
      <c r="CZ37" s="7"/>
      <c r="DA37" s="7"/>
      <c r="DB37" s="43">
        <v>31.68</v>
      </c>
      <c r="DC37" s="43"/>
      <c r="DD37" s="53"/>
      <c r="DE37" s="73">
        <f t="shared" si="2"/>
        <v>0</v>
      </c>
      <c r="DG37" s="52">
        <v>960</v>
      </c>
      <c r="DH37" s="43">
        <v>31.68</v>
      </c>
      <c r="DI37" s="50">
        <f t="shared" si="3"/>
        <v>5480.0099999999993</v>
      </c>
      <c r="DK37" s="52"/>
      <c r="DL37" s="43"/>
      <c r="DM37" s="50">
        <f t="shared" si="4"/>
        <v>1255.07</v>
      </c>
      <c r="DO37" s="52"/>
      <c r="DP37" s="43"/>
      <c r="DQ37" s="50">
        <f t="shared" si="5"/>
        <v>7251.0599999999986</v>
      </c>
      <c r="DT37" s="52"/>
      <c r="DU37" s="43"/>
      <c r="DV37" s="50">
        <f t="shared" si="6"/>
        <v>361.19</v>
      </c>
      <c r="DX37" s="52"/>
      <c r="DY37" s="43"/>
      <c r="DZ37" s="53">
        <f t="shared" si="7"/>
        <v>-178.98</v>
      </c>
      <c r="EB37" s="52"/>
      <c r="EC37" s="43"/>
      <c r="ED37" s="53">
        <f t="shared" si="8"/>
        <v>0</v>
      </c>
      <c r="EF37" s="52"/>
      <c r="EG37" s="43"/>
      <c r="EH37" s="53">
        <f t="shared" si="9"/>
        <v>1225</v>
      </c>
      <c r="EJ37" s="65"/>
      <c r="EK37" s="7"/>
      <c r="EL37" s="53">
        <f t="shared" si="10"/>
        <v>100</v>
      </c>
      <c r="EN37" s="51">
        <f t="shared" si="11"/>
        <v>-5786.2699999999977</v>
      </c>
      <c r="EP37" s="60">
        <f t="shared" si="12"/>
        <v>0</v>
      </c>
      <c r="EQ37" s="61">
        <f t="shared" si="13"/>
        <v>0</v>
      </c>
      <c r="ER37" s="15">
        <f t="shared" si="14"/>
        <v>0</v>
      </c>
      <c r="ES37" s="62">
        <f t="shared" si="15"/>
        <v>0</v>
      </c>
      <c r="ET37" t="s">
        <v>1004</v>
      </c>
      <c r="EU37" s="6">
        <v>26</v>
      </c>
    </row>
    <row r="38" spans="1:151" x14ac:dyDescent="0.45">
      <c r="A38" s="67">
        <v>45426</v>
      </c>
      <c r="B38" s="25" t="s">
        <v>746</v>
      </c>
      <c r="C38" s="10" t="s">
        <v>697</v>
      </c>
      <c r="D38" s="7"/>
      <c r="E38" s="43">
        <v>280</v>
      </c>
      <c r="F38" s="43">
        <f>3.78+5.46</f>
        <v>9.24</v>
      </c>
      <c r="G38" s="16">
        <f t="shared" si="1"/>
        <v>9977.84</v>
      </c>
      <c r="H38" s="64" t="s">
        <v>625</v>
      </c>
      <c r="I38" s="52"/>
      <c r="J38" s="43"/>
      <c r="K38" s="43"/>
      <c r="L38" s="43"/>
      <c r="M38" s="43"/>
      <c r="N38" s="43"/>
      <c r="O38" s="43"/>
      <c r="P38" s="43"/>
      <c r="Q38" s="43"/>
      <c r="R38" s="43"/>
      <c r="S38" s="43"/>
      <c r="T38" s="43"/>
      <c r="U38" s="43"/>
      <c r="V38" s="43"/>
      <c r="W38" s="43"/>
      <c r="X38" s="43"/>
      <c r="Y38" s="43"/>
      <c r="Z38" s="43">
        <v>280</v>
      </c>
      <c r="AA38" s="43"/>
      <c r="AB38" s="43"/>
      <c r="AC38" s="43"/>
      <c r="AD38" s="43"/>
      <c r="AE38" s="43"/>
      <c r="AF38" s="43"/>
      <c r="AG38" s="43"/>
      <c r="AH38" s="43"/>
      <c r="AI38" s="43"/>
      <c r="AJ38" s="43"/>
      <c r="AK38" s="43"/>
      <c r="AL38" s="43"/>
      <c r="AM38" s="43"/>
      <c r="AN38" s="43"/>
      <c r="AO38" s="43"/>
      <c r="AP38" s="43"/>
      <c r="AQ38" s="43"/>
      <c r="AR38" s="53"/>
      <c r="AS38" s="52"/>
      <c r="AT38" s="43"/>
      <c r="AU38" s="43"/>
      <c r="AV38" s="43"/>
      <c r="AW38" s="43"/>
      <c r="AX38" s="43"/>
      <c r="AY38" s="43"/>
      <c r="AZ38" s="43">
        <v>9.24</v>
      </c>
      <c r="BA38" s="43"/>
      <c r="BB38" s="43"/>
      <c r="BC38" s="43"/>
      <c r="BD38" s="43"/>
      <c r="BE38" s="43"/>
      <c r="BF38" s="43"/>
      <c r="BG38" s="43"/>
      <c r="BH38" s="43"/>
      <c r="BI38" s="43"/>
      <c r="BJ38" s="43"/>
      <c r="BK38" s="43"/>
      <c r="BL38" s="43"/>
      <c r="BM38" s="43"/>
      <c r="BN38" s="43"/>
      <c r="BO38" s="43"/>
      <c r="BP38" s="43"/>
      <c r="BQ38" s="43"/>
      <c r="BR38" s="43"/>
      <c r="BS38" s="43"/>
      <c r="BT38" s="43"/>
      <c r="BU38" s="43"/>
      <c r="BV38" s="43"/>
      <c r="BW38" s="53"/>
      <c r="BX38" s="30">
        <f t="shared" si="0"/>
        <v>0</v>
      </c>
      <c r="BY38" s="52"/>
      <c r="BZ38" s="43">
        <v>280</v>
      </c>
      <c r="CA38" s="43"/>
      <c r="CB38" s="43"/>
      <c r="CC38" s="43"/>
      <c r="CD38" s="43"/>
      <c r="CE38" s="43"/>
      <c r="CF38" s="43"/>
      <c r="CG38" s="53"/>
      <c r="CH38" s="52"/>
      <c r="CI38" s="43"/>
      <c r="CJ38" s="43"/>
      <c r="CK38" s="43"/>
      <c r="CL38" s="43"/>
      <c r="CM38" s="43"/>
      <c r="CN38" s="43"/>
      <c r="CO38" s="43"/>
      <c r="CP38" s="43"/>
      <c r="CQ38" s="43"/>
      <c r="CR38" s="43"/>
      <c r="CS38" s="43"/>
      <c r="CT38" s="43"/>
      <c r="CU38" s="43"/>
      <c r="CV38" s="43"/>
      <c r="CW38" s="43"/>
      <c r="CX38" s="43"/>
      <c r="CY38" s="43"/>
      <c r="CZ38" s="7"/>
      <c r="DA38" s="7"/>
      <c r="DB38" s="43">
        <v>9.24</v>
      </c>
      <c r="DC38" s="43"/>
      <c r="DD38" s="53"/>
      <c r="DE38" s="73">
        <f t="shared" si="2"/>
        <v>0</v>
      </c>
      <c r="DG38" s="52"/>
      <c r="DH38" s="43"/>
      <c r="DI38" s="50">
        <f t="shared" si="3"/>
        <v>5480.0099999999993</v>
      </c>
      <c r="DK38" s="52"/>
      <c r="DL38" s="43"/>
      <c r="DM38" s="50">
        <f t="shared" si="4"/>
        <v>1255.07</v>
      </c>
      <c r="DO38" s="52">
        <v>280</v>
      </c>
      <c r="DP38" s="43">
        <v>9.24</v>
      </c>
      <c r="DQ38" s="50">
        <f t="shared" si="5"/>
        <v>7521.8199999999988</v>
      </c>
      <c r="DT38" s="52"/>
      <c r="DU38" s="43"/>
      <c r="DV38" s="50">
        <f t="shared" si="6"/>
        <v>361.19</v>
      </c>
      <c r="DX38" s="52"/>
      <c r="DY38" s="43"/>
      <c r="DZ38" s="53">
        <f t="shared" si="7"/>
        <v>-178.98</v>
      </c>
      <c r="EB38" s="52"/>
      <c r="EC38" s="43"/>
      <c r="ED38" s="53">
        <f t="shared" si="8"/>
        <v>0</v>
      </c>
      <c r="EF38" s="52"/>
      <c r="EG38" s="43"/>
      <c r="EH38" s="53">
        <f t="shared" si="9"/>
        <v>1225</v>
      </c>
      <c r="EJ38" s="65"/>
      <c r="EK38" s="7"/>
      <c r="EL38" s="53">
        <f t="shared" si="10"/>
        <v>100</v>
      </c>
      <c r="EN38" s="51">
        <f t="shared" si="11"/>
        <v>-5786.2699999999977</v>
      </c>
      <c r="EP38" s="60">
        <f t="shared" si="12"/>
        <v>0</v>
      </c>
      <c r="EQ38" s="61">
        <f t="shared" si="13"/>
        <v>0</v>
      </c>
      <c r="ER38" s="15">
        <f t="shared" si="14"/>
        <v>0</v>
      </c>
      <c r="ES38" s="163">
        <f t="shared" si="15"/>
        <v>0</v>
      </c>
      <c r="EU38">
        <v>27</v>
      </c>
    </row>
    <row r="39" spans="1:151" x14ac:dyDescent="0.45">
      <c r="A39" s="67">
        <v>45426</v>
      </c>
      <c r="B39" s="25" t="s">
        <v>748</v>
      </c>
      <c r="C39" s="10" t="s">
        <v>679</v>
      </c>
      <c r="D39" s="7"/>
      <c r="E39" s="43">
        <v>80</v>
      </c>
      <c r="F39" s="43">
        <f>1.32+1.32</f>
        <v>2.64</v>
      </c>
      <c r="G39" s="16">
        <f t="shared" si="1"/>
        <v>10055.200000000001</v>
      </c>
      <c r="H39" s="64" t="s">
        <v>625</v>
      </c>
      <c r="I39" s="52"/>
      <c r="J39" s="43"/>
      <c r="K39" s="43"/>
      <c r="L39" s="43"/>
      <c r="M39" s="43"/>
      <c r="N39" s="43"/>
      <c r="O39" s="43"/>
      <c r="P39" s="43"/>
      <c r="Q39" s="43"/>
      <c r="R39" s="43"/>
      <c r="S39" s="43"/>
      <c r="T39" s="43"/>
      <c r="U39" s="43"/>
      <c r="V39" s="43"/>
      <c r="W39" s="43"/>
      <c r="X39" s="43"/>
      <c r="Y39" s="43">
        <v>80</v>
      </c>
      <c r="Z39" s="43"/>
      <c r="AA39" s="43"/>
      <c r="AB39" s="43"/>
      <c r="AC39" s="43"/>
      <c r="AD39" s="43"/>
      <c r="AE39" s="43"/>
      <c r="AF39" s="43"/>
      <c r="AG39" s="43"/>
      <c r="AH39" s="43"/>
      <c r="AI39" s="43"/>
      <c r="AJ39" s="43"/>
      <c r="AK39" s="43"/>
      <c r="AL39" s="43"/>
      <c r="AM39" s="43"/>
      <c r="AN39" s="43"/>
      <c r="AO39" s="43"/>
      <c r="AP39" s="43"/>
      <c r="AQ39" s="43"/>
      <c r="AR39" s="53"/>
      <c r="AS39" s="52"/>
      <c r="AT39" s="43"/>
      <c r="AU39" s="43"/>
      <c r="AV39" s="43"/>
      <c r="AW39" s="43"/>
      <c r="AX39" s="43"/>
      <c r="AY39" s="43">
        <v>2.64</v>
      </c>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53"/>
      <c r="BX39" s="30">
        <f t="shared" si="0"/>
        <v>0</v>
      </c>
      <c r="BY39" s="52"/>
      <c r="BZ39" s="43">
        <v>80</v>
      </c>
      <c r="CA39" s="43"/>
      <c r="CB39" s="43"/>
      <c r="CC39" s="43"/>
      <c r="CD39" s="43"/>
      <c r="CE39" s="43"/>
      <c r="CF39" s="43"/>
      <c r="CG39" s="53"/>
      <c r="CH39" s="52"/>
      <c r="CI39" s="43"/>
      <c r="CJ39" s="43"/>
      <c r="CK39" s="43"/>
      <c r="CL39" s="43"/>
      <c r="CM39" s="43"/>
      <c r="CN39" s="43"/>
      <c r="CO39" s="43"/>
      <c r="CP39" s="43"/>
      <c r="CQ39" s="43"/>
      <c r="CR39" s="43"/>
      <c r="CS39" s="43"/>
      <c r="CT39" s="43"/>
      <c r="CU39" s="43"/>
      <c r="CV39" s="43"/>
      <c r="CW39" s="43"/>
      <c r="CX39" s="43"/>
      <c r="CY39" s="43"/>
      <c r="CZ39" s="7"/>
      <c r="DA39" s="7"/>
      <c r="DB39" s="43">
        <v>2.64</v>
      </c>
      <c r="DC39" s="43"/>
      <c r="DD39" s="53"/>
      <c r="DE39" s="73">
        <f t="shared" si="2"/>
        <v>0</v>
      </c>
      <c r="DG39" s="52"/>
      <c r="DH39" s="43"/>
      <c r="DI39" s="50">
        <f t="shared" si="3"/>
        <v>5480.0099999999993</v>
      </c>
      <c r="DK39" s="52">
        <v>80</v>
      </c>
      <c r="DL39" s="43">
        <v>2.64</v>
      </c>
      <c r="DM39" s="50">
        <f t="shared" si="4"/>
        <v>1332.4299999999998</v>
      </c>
      <c r="DO39" s="52"/>
      <c r="DP39" s="43"/>
      <c r="DQ39" s="50">
        <f t="shared" si="5"/>
        <v>7521.8199999999988</v>
      </c>
      <c r="DT39" s="52"/>
      <c r="DU39" s="43"/>
      <c r="DV39" s="50">
        <f t="shared" si="6"/>
        <v>361.19</v>
      </c>
      <c r="DX39" s="52"/>
      <c r="DY39" s="43"/>
      <c r="DZ39" s="53">
        <f t="shared" si="7"/>
        <v>-178.98</v>
      </c>
      <c r="EB39" s="52"/>
      <c r="EC39" s="43"/>
      <c r="ED39" s="53">
        <f t="shared" si="8"/>
        <v>0</v>
      </c>
      <c r="EF39" s="52"/>
      <c r="EG39" s="43"/>
      <c r="EH39" s="53">
        <f t="shared" si="9"/>
        <v>1225</v>
      </c>
      <c r="EJ39" s="65"/>
      <c r="EK39" s="7"/>
      <c r="EL39" s="53">
        <f t="shared" si="10"/>
        <v>100</v>
      </c>
      <c r="EN39" s="51">
        <f t="shared" si="11"/>
        <v>-5786.2699999999977</v>
      </c>
      <c r="EP39" s="60">
        <f t="shared" si="12"/>
        <v>0</v>
      </c>
      <c r="EQ39" s="61">
        <f t="shared" si="13"/>
        <v>0</v>
      </c>
      <c r="ER39" s="15">
        <f t="shared" si="14"/>
        <v>0</v>
      </c>
      <c r="ES39" s="62">
        <f t="shared" si="15"/>
        <v>0</v>
      </c>
      <c r="EU39" s="6">
        <v>28</v>
      </c>
    </row>
    <row r="40" spans="1:151" x14ac:dyDescent="0.45">
      <c r="A40" s="67">
        <v>45426</v>
      </c>
      <c r="B40" s="25" t="s">
        <v>742</v>
      </c>
      <c r="C40" s="10" t="s">
        <v>734</v>
      </c>
      <c r="D40" s="7"/>
      <c r="E40" s="43">
        <v>200</v>
      </c>
      <c r="F40" s="43">
        <f>2.7+3.9</f>
        <v>6.6</v>
      </c>
      <c r="G40" s="16">
        <f t="shared" si="1"/>
        <v>10248.6</v>
      </c>
      <c r="H40" s="64" t="s">
        <v>625</v>
      </c>
      <c r="I40" s="52"/>
      <c r="J40" s="43"/>
      <c r="K40" s="43"/>
      <c r="L40" s="43"/>
      <c r="M40" s="43"/>
      <c r="N40" s="43"/>
      <c r="O40" s="43"/>
      <c r="P40" s="43"/>
      <c r="Q40" s="43"/>
      <c r="R40" s="43"/>
      <c r="S40" s="43"/>
      <c r="T40" s="43"/>
      <c r="U40" s="43"/>
      <c r="V40" s="43"/>
      <c r="W40" s="43"/>
      <c r="X40" s="43"/>
      <c r="Y40" s="43"/>
      <c r="Z40" s="43">
        <v>200</v>
      </c>
      <c r="AA40" s="43"/>
      <c r="AB40" s="43"/>
      <c r="AC40" s="43"/>
      <c r="AD40" s="43"/>
      <c r="AE40" s="43"/>
      <c r="AF40" s="43"/>
      <c r="AG40" s="43"/>
      <c r="AH40" s="43"/>
      <c r="AI40" s="43"/>
      <c r="AJ40" s="43"/>
      <c r="AK40" s="43"/>
      <c r="AL40" s="43"/>
      <c r="AM40" s="43"/>
      <c r="AN40" s="43"/>
      <c r="AO40" s="43"/>
      <c r="AP40" s="43"/>
      <c r="AQ40" s="43"/>
      <c r="AR40" s="53"/>
      <c r="AS40" s="52"/>
      <c r="AT40" s="43"/>
      <c r="AU40" s="43"/>
      <c r="AV40" s="43"/>
      <c r="AW40" s="43"/>
      <c r="AX40" s="43"/>
      <c r="AY40" s="43"/>
      <c r="AZ40" s="43">
        <v>6.6</v>
      </c>
      <c r="BA40" s="43"/>
      <c r="BB40" s="43"/>
      <c r="BC40" s="43"/>
      <c r="BD40" s="43"/>
      <c r="BE40" s="43"/>
      <c r="BF40" s="43"/>
      <c r="BG40" s="43"/>
      <c r="BH40" s="43"/>
      <c r="BI40" s="43"/>
      <c r="BJ40" s="43"/>
      <c r="BK40" s="43"/>
      <c r="BL40" s="43"/>
      <c r="BM40" s="43"/>
      <c r="BN40" s="43"/>
      <c r="BO40" s="43"/>
      <c r="BP40" s="43"/>
      <c r="BQ40" s="43"/>
      <c r="BR40" s="43"/>
      <c r="BS40" s="43"/>
      <c r="BT40" s="43"/>
      <c r="BU40" s="43"/>
      <c r="BV40" s="43"/>
      <c r="BW40" s="53"/>
      <c r="BX40" s="30">
        <f t="shared" si="0"/>
        <v>0</v>
      </c>
      <c r="BY40" s="52"/>
      <c r="BZ40" s="43">
        <v>200</v>
      </c>
      <c r="CA40" s="43"/>
      <c r="CB40" s="43"/>
      <c r="CC40" s="43"/>
      <c r="CD40" s="43"/>
      <c r="CE40" s="43"/>
      <c r="CF40" s="43"/>
      <c r="CG40" s="53"/>
      <c r="CH40" s="52"/>
      <c r="CI40" s="43"/>
      <c r="CJ40" s="43"/>
      <c r="CK40" s="43"/>
      <c r="CL40" s="43"/>
      <c r="CM40" s="43"/>
      <c r="CN40" s="43"/>
      <c r="CO40" s="43"/>
      <c r="CP40" s="43"/>
      <c r="CQ40" s="43"/>
      <c r="CR40" s="43"/>
      <c r="CS40" s="43"/>
      <c r="CT40" s="43"/>
      <c r="CU40" s="43"/>
      <c r="CV40" s="43"/>
      <c r="CW40" s="43"/>
      <c r="CX40" s="43"/>
      <c r="CY40" s="43"/>
      <c r="CZ40" s="7"/>
      <c r="DA40" s="7"/>
      <c r="DB40" s="43">
        <v>6.6</v>
      </c>
      <c r="DC40" s="43"/>
      <c r="DD40" s="53"/>
      <c r="DE40" s="73">
        <f t="shared" si="2"/>
        <v>0</v>
      </c>
      <c r="DG40" s="52"/>
      <c r="DH40" s="43"/>
      <c r="DI40" s="50">
        <f t="shared" si="3"/>
        <v>5480.0099999999993</v>
      </c>
      <c r="DK40" s="52"/>
      <c r="DL40" s="43"/>
      <c r="DM40" s="50">
        <f t="shared" si="4"/>
        <v>1332.4299999999998</v>
      </c>
      <c r="DO40" s="52">
        <v>200</v>
      </c>
      <c r="DP40" s="43">
        <v>6.6</v>
      </c>
      <c r="DQ40" s="50">
        <f t="shared" si="5"/>
        <v>7715.2199999999984</v>
      </c>
      <c r="DT40" s="52"/>
      <c r="DU40" s="43"/>
      <c r="DV40" s="50">
        <f t="shared" si="6"/>
        <v>361.19</v>
      </c>
      <c r="DX40" s="52"/>
      <c r="DY40" s="43"/>
      <c r="DZ40" s="53">
        <f t="shared" si="7"/>
        <v>-178.98</v>
      </c>
      <c r="EB40" s="52"/>
      <c r="EC40" s="43"/>
      <c r="ED40" s="53">
        <f t="shared" si="8"/>
        <v>0</v>
      </c>
      <c r="EF40" s="52"/>
      <c r="EG40" s="43"/>
      <c r="EH40" s="53">
        <f t="shared" si="9"/>
        <v>1225</v>
      </c>
      <c r="EJ40" s="65"/>
      <c r="EK40" s="7"/>
      <c r="EL40" s="53">
        <f t="shared" si="10"/>
        <v>100</v>
      </c>
      <c r="EN40" s="51">
        <f t="shared" si="11"/>
        <v>-5786.2699999999977</v>
      </c>
      <c r="EP40" s="60">
        <f t="shared" si="12"/>
        <v>0</v>
      </c>
      <c r="EQ40" s="61">
        <f t="shared" si="13"/>
        <v>0</v>
      </c>
      <c r="ER40" s="15">
        <f t="shared" si="14"/>
        <v>0</v>
      </c>
      <c r="ES40" s="163">
        <f t="shared" ref="ES40:ES71" si="16">+X40+Y40+Z40+AA40-BZ40-CA40-CB40-CC40</f>
        <v>0</v>
      </c>
      <c r="EU40">
        <v>29</v>
      </c>
    </row>
    <row r="41" spans="1:151" x14ac:dyDescent="0.45">
      <c r="A41" s="67">
        <v>45426</v>
      </c>
      <c r="B41" s="25" t="s">
        <v>747</v>
      </c>
      <c r="C41" s="10" t="s">
        <v>716</v>
      </c>
      <c r="D41" s="7"/>
      <c r="E41" s="43">
        <v>240</v>
      </c>
      <c r="F41" s="43">
        <f>3.24+4.68</f>
        <v>7.92</v>
      </c>
      <c r="G41" s="16">
        <f t="shared" si="1"/>
        <v>10480.68</v>
      </c>
      <c r="H41" s="64" t="s">
        <v>625</v>
      </c>
      <c r="I41" s="52"/>
      <c r="J41" s="43"/>
      <c r="K41" s="43"/>
      <c r="L41" s="43"/>
      <c r="M41" s="43"/>
      <c r="N41" s="43"/>
      <c r="O41" s="43"/>
      <c r="P41" s="43"/>
      <c r="Q41" s="43"/>
      <c r="R41" s="43"/>
      <c r="S41" s="43"/>
      <c r="T41" s="43"/>
      <c r="U41" s="43"/>
      <c r="V41" s="43"/>
      <c r="W41" s="43"/>
      <c r="X41" s="43">
        <v>240</v>
      </c>
      <c r="Y41" s="43"/>
      <c r="Z41" s="43"/>
      <c r="AA41" s="43"/>
      <c r="AB41" s="43"/>
      <c r="AC41" s="43"/>
      <c r="AD41" s="43"/>
      <c r="AE41" s="43"/>
      <c r="AF41" s="43"/>
      <c r="AG41" s="43"/>
      <c r="AH41" s="43"/>
      <c r="AI41" s="43"/>
      <c r="AJ41" s="43"/>
      <c r="AK41" s="43"/>
      <c r="AL41" s="43"/>
      <c r="AM41" s="43"/>
      <c r="AN41" s="43"/>
      <c r="AO41" s="43"/>
      <c r="AP41" s="43"/>
      <c r="AQ41" s="43"/>
      <c r="AR41" s="53"/>
      <c r="AS41" s="52"/>
      <c r="AT41" s="43"/>
      <c r="AU41" s="43"/>
      <c r="AV41" s="43"/>
      <c r="AW41" s="43"/>
      <c r="AX41" s="43">
        <v>7.92</v>
      </c>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53"/>
      <c r="BX41" s="30">
        <f t="shared" si="0"/>
        <v>0</v>
      </c>
      <c r="BY41" s="52"/>
      <c r="BZ41" s="43">
        <v>240</v>
      </c>
      <c r="CA41" s="43"/>
      <c r="CB41" s="43"/>
      <c r="CC41" s="43"/>
      <c r="CD41" s="43"/>
      <c r="CE41" s="43"/>
      <c r="CF41" s="43"/>
      <c r="CG41" s="53"/>
      <c r="CH41" s="52"/>
      <c r="CI41" s="43"/>
      <c r="CJ41" s="43"/>
      <c r="CK41" s="43"/>
      <c r="CL41" s="43"/>
      <c r="CM41" s="43"/>
      <c r="CN41" s="43"/>
      <c r="CO41" s="43"/>
      <c r="CP41" s="43"/>
      <c r="CQ41" s="43"/>
      <c r="CR41" s="43"/>
      <c r="CS41" s="43"/>
      <c r="CT41" s="43"/>
      <c r="CU41" s="43"/>
      <c r="CV41" s="43"/>
      <c r="CW41" s="43"/>
      <c r="CX41" s="43"/>
      <c r="CY41" s="43"/>
      <c r="CZ41" s="7"/>
      <c r="DA41" s="7"/>
      <c r="DB41" s="43">
        <v>7.92</v>
      </c>
      <c r="DC41" s="43"/>
      <c r="DD41" s="53"/>
      <c r="DE41" s="73">
        <f t="shared" si="2"/>
        <v>0</v>
      </c>
      <c r="DG41" s="52">
        <v>240</v>
      </c>
      <c r="DH41" s="43">
        <v>7.92</v>
      </c>
      <c r="DI41" s="50">
        <f t="shared" si="3"/>
        <v>5712.0899999999992</v>
      </c>
      <c r="DK41" s="52"/>
      <c r="DL41" s="43"/>
      <c r="DM41" s="50">
        <f t="shared" si="4"/>
        <v>1332.4299999999998</v>
      </c>
      <c r="DO41" s="52"/>
      <c r="DP41" s="43"/>
      <c r="DQ41" s="50">
        <f t="shared" si="5"/>
        <v>7715.2199999999984</v>
      </c>
      <c r="DT41" s="52"/>
      <c r="DU41" s="43"/>
      <c r="DV41" s="50">
        <f t="shared" si="6"/>
        <v>361.19</v>
      </c>
      <c r="DX41" s="52"/>
      <c r="DY41" s="43"/>
      <c r="DZ41" s="53">
        <f t="shared" si="7"/>
        <v>-178.98</v>
      </c>
      <c r="EB41" s="52"/>
      <c r="EC41" s="43"/>
      <c r="ED41" s="53">
        <f t="shared" si="8"/>
        <v>0</v>
      </c>
      <c r="EF41" s="52"/>
      <c r="EG41" s="43"/>
      <c r="EH41" s="53">
        <f t="shared" si="9"/>
        <v>1225</v>
      </c>
      <c r="EJ41" s="65"/>
      <c r="EK41" s="7"/>
      <c r="EL41" s="53">
        <f t="shared" si="10"/>
        <v>100</v>
      </c>
      <c r="EN41" s="51">
        <f t="shared" si="11"/>
        <v>-5786.2699999999977</v>
      </c>
      <c r="EP41" s="60">
        <f t="shared" si="12"/>
        <v>0</v>
      </c>
      <c r="EQ41" s="61">
        <f t="shared" si="13"/>
        <v>0</v>
      </c>
      <c r="ER41" s="15">
        <f t="shared" si="14"/>
        <v>0</v>
      </c>
      <c r="ES41" s="62">
        <f t="shared" si="16"/>
        <v>0</v>
      </c>
      <c r="EU41" s="6">
        <v>30</v>
      </c>
    </row>
    <row r="42" spans="1:151" x14ac:dyDescent="0.45">
      <c r="A42" s="67">
        <v>45427</v>
      </c>
      <c r="B42" s="25" t="s">
        <v>746</v>
      </c>
      <c r="C42" s="10" t="s">
        <v>692</v>
      </c>
      <c r="D42" s="7"/>
      <c r="E42" s="43">
        <v>40</v>
      </c>
      <c r="F42" s="43">
        <v>1.32</v>
      </c>
      <c r="G42" s="16">
        <f t="shared" si="1"/>
        <v>10519.36</v>
      </c>
      <c r="H42" s="64" t="s">
        <v>625</v>
      </c>
      <c r="I42" s="52"/>
      <c r="J42" s="43"/>
      <c r="K42" s="43"/>
      <c r="L42" s="43"/>
      <c r="M42" s="43"/>
      <c r="N42" s="43"/>
      <c r="O42" s="43"/>
      <c r="P42" s="43"/>
      <c r="Q42" s="43"/>
      <c r="R42" s="43"/>
      <c r="S42" s="43"/>
      <c r="T42" s="43"/>
      <c r="U42" s="43"/>
      <c r="V42" s="43"/>
      <c r="W42" s="43"/>
      <c r="X42" s="43"/>
      <c r="Y42" s="43"/>
      <c r="Z42" s="43">
        <v>40</v>
      </c>
      <c r="AA42" s="43"/>
      <c r="AB42" s="43"/>
      <c r="AC42" s="43"/>
      <c r="AD42" s="43"/>
      <c r="AE42" s="43"/>
      <c r="AF42" s="43"/>
      <c r="AG42" s="43"/>
      <c r="AH42" s="43"/>
      <c r="AI42" s="43"/>
      <c r="AJ42" s="43"/>
      <c r="AK42" s="43"/>
      <c r="AL42" s="43"/>
      <c r="AM42" s="43"/>
      <c r="AN42" s="43"/>
      <c r="AO42" s="43"/>
      <c r="AP42" s="43"/>
      <c r="AQ42" s="43"/>
      <c r="AR42" s="53"/>
      <c r="AS42" s="52"/>
      <c r="AT42" s="43"/>
      <c r="AU42" s="43"/>
      <c r="AV42" s="43"/>
      <c r="AW42" s="43"/>
      <c r="AX42" s="43"/>
      <c r="AY42" s="43"/>
      <c r="AZ42" s="43">
        <v>1.32</v>
      </c>
      <c r="BA42" s="43"/>
      <c r="BB42" s="43"/>
      <c r="BC42" s="43"/>
      <c r="BD42" s="43"/>
      <c r="BE42" s="43"/>
      <c r="BF42" s="43"/>
      <c r="BG42" s="43"/>
      <c r="BH42" s="43"/>
      <c r="BI42" s="43"/>
      <c r="BJ42" s="43"/>
      <c r="BK42" s="43"/>
      <c r="BL42" s="43"/>
      <c r="BM42" s="43"/>
      <c r="BN42" s="43"/>
      <c r="BO42" s="43"/>
      <c r="BP42" s="43"/>
      <c r="BQ42" s="43"/>
      <c r="BR42" s="43"/>
      <c r="BS42" s="43"/>
      <c r="BT42" s="43"/>
      <c r="BU42" s="43"/>
      <c r="BV42" s="43"/>
      <c r="BW42" s="53"/>
      <c r="BX42" s="30">
        <f t="shared" si="0"/>
        <v>0</v>
      </c>
      <c r="BY42" s="52"/>
      <c r="BZ42" s="43">
        <v>40</v>
      </c>
      <c r="CA42" s="43"/>
      <c r="CB42" s="43"/>
      <c r="CC42" s="43"/>
      <c r="CD42" s="43"/>
      <c r="CE42" s="43"/>
      <c r="CF42" s="43"/>
      <c r="CG42" s="53"/>
      <c r="CH42" s="52"/>
      <c r="CI42" s="43"/>
      <c r="CJ42" s="43"/>
      <c r="CK42" s="43"/>
      <c r="CL42" s="43"/>
      <c r="CM42" s="43"/>
      <c r="CN42" s="43"/>
      <c r="CO42" s="43"/>
      <c r="CP42" s="43"/>
      <c r="CQ42" s="43"/>
      <c r="CR42" s="43"/>
      <c r="CS42" s="43"/>
      <c r="CT42" s="43"/>
      <c r="CU42" s="43"/>
      <c r="CV42" s="43"/>
      <c r="CW42" s="43"/>
      <c r="CX42" s="43"/>
      <c r="CY42" s="43"/>
      <c r="CZ42" s="7"/>
      <c r="DA42" s="7"/>
      <c r="DB42" s="43">
        <v>1.32</v>
      </c>
      <c r="DC42" s="43"/>
      <c r="DD42" s="53"/>
      <c r="DE42" s="73">
        <f t="shared" si="2"/>
        <v>0</v>
      </c>
      <c r="DG42" s="52"/>
      <c r="DH42" s="43"/>
      <c r="DI42" s="50">
        <f t="shared" si="3"/>
        <v>5712.0899999999992</v>
      </c>
      <c r="DK42" s="52"/>
      <c r="DL42" s="43"/>
      <c r="DM42" s="50">
        <f t="shared" si="4"/>
        <v>1332.4299999999998</v>
      </c>
      <c r="DO42" s="52">
        <v>40</v>
      </c>
      <c r="DP42" s="43">
        <v>1.32</v>
      </c>
      <c r="DQ42" s="50">
        <f t="shared" si="5"/>
        <v>7753.8999999999987</v>
      </c>
      <c r="DT42" s="52"/>
      <c r="DU42" s="43"/>
      <c r="DV42" s="50">
        <f t="shared" si="6"/>
        <v>361.19</v>
      </c>
      <c r="DX42" s="52"/>
      <c r="DY42" s="43"/>
      <c r="DZ42" s="53">
        <f t="shared" si="7"/>
        <v>-178.98</v>
      </c>
      <c r="EB42" s="52"/>
      <c r="EC42" s="43"/>
      <c r="ED42" s="53">
        <f t="shared" si="8"/>
        <v>0</v>
      </c>
      <c r="EF42" s="52"/>
      <c r="EG42" s="43"/>
      <c r="EH42" s="53">
        <f t="shared" si="9"/>
        <v>1225</v>
      </c>
      <c r="EJ42" s="65"/>
      <c r="EK42" s="7"/>
      <c r="EL42" s="53">
        <f t="shared" si="10"/>
        <v>100</v>
      </c>
      <c r="EN42" s="51">
        <f t="shared" si="11"/>
        <v>-5786.2699999999977</v>
      </c>
      <c r="EP42" s="60">
        <f t="shared" si="12"/>
        <v>0</v>
      </c>
      <c r="EQ42" s="61">
        <f t="shared" si="13"/>
        <v>0</v>
      </c>
      <c r="ER42" s="15">
        <f t="shared" si="14"/>
        <v>0</v>
      </c>
      <c r="ES42" s="163">
        <f t="shared" si="16"/>
        <v>0</v>
      </c>
      <c r="EU42">
        <v>31</v>
      </c>
    </row>
    <row r="43" spans="1:151" x14ac:dyDescent="0.45">
      <c r="A43" s="67">
        <v>45427</v>
      </c>
      <c r="B43" s="25" t="s">
        <v>745</v>
      </c>
      <c r="C43" s="10" t="s">
        <v>699</v>
      </c>
      <c r="D43" s="7"/>
      <c r="E43" s="43">
        <v>40</v>
      </c>
      <c r="F43" s="43">
        <v>1.32</v>
      </c>
      <c r="G43" s="16">
        <f t="shared" si="1"/>
        <v>10558.04</v>
      </c>
      <c r="H43" s="64" t="s">
        <v>625</v>
      </c>
      <c r="I43" s="52"/>
      <c r="J43" s="43"/>
      <c r="K43" s="43"/>
      <c r="L43" s="43"/>
      <c r="M43" s="43"/>
      <c r="N43" s="43"/>
      <c r="O43" s="43"/>
      <c r="P43" s="43"/>
      <c r="Q43" s="43"/>
      <c r="R43" s="43"/>
      <c r="S43" s="43"/>
      <c r="T43" s="43"/>
      <c r="U43" s="43"/>
      <c r="V43" s="43"/>
      <c r="W43" s="43"/>
      <c r="X43" s="43"/>
      <c r="Y43" s="43">
        <v>40</v>
      </c>
      <c r="Z43" s="43"/>
      <c r="AA43" s="43"/>
      <c r="AB43" s="43"/>
      <c r="AC43" s="43"/>
      <c r="AD43" s="43"/>
      <c r="AE43" s="43"/>
      <c r="AF43" s="43"/>
      <c r="AG43" s="43"/>
      <c r="AH43" s="43"/>
      <c r="AI43" s="43"/>
      <c r="AJ43" s="43"/>
      <c r="AK43" s="43"/>
      <c r="AL43" s="43"/>
      <c r="AM43" s="43"/>
      <c r="AN43" s="43"/>
      <c r="AO43" s="43"/>
      <c r="AP43" s="43"/>
      <c r="AQ43" s="43"/>
      <c r="AR43" s="53"/>
      <c r="AS43" s="52"/>
      <c r="AT43" s="43"/>
      <c r="AU43" s="43"/>
      <c r="AV43" s="43"/>
      <c r="AW43" s="43"/>
      <c r="AX43" s="43"/>
      <c r="AY43" s="43">
        <v>1.32</v>
      </c>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53"/>
      <c r="BX43" s="30">
        <f t="shared" si="0"/>
        <v>0</v>
      </c>
      <c r="BY43" s="52"/>
      <c r="BZ43" s="43">
        <v>40</v>
      </c>
      <c r="CA43" s="43"/>
      <c r="CB43" s="43"/>
      <c r="CC43" s="43"/>
      <c r="CD43" s="43"/>
      <c r="CE43" s="43"/>
      <c r="CF43" s="43"/>
      <c r="CG43" s="53"/>
      <c r="CH43" s="52"/>
      <c r="CI43" s="43"/>
      <c r="CJ43" s="43"/>
      <c r="CK43" s="43"/>
      <c r="CL43" s="43"/>
      <c r="CM43" s="43"/>
      <c r="CN43" s="43"/>
      <c r="CO43" s="43"/>
      <c r="CP43" s="43"/>
      <c r="CQ43" s="43"/>
      <c r="CR43" s="43"/>
      <c r="CS43" s="43"/>
      <c r="CT43" s="43"/>
      <c r="CU43" s="43"/>
      <c r="CV43" s="43"/>
      <c r="CW43" s="43"/>
      <c r="CX43" s="43"/>
      <c r="CY43" s="43"/>
      <c r="CZ43" s="7"/>
      <c r="DA43" s="7"/>
      <c r="DB43" s="43">
        <v>1.32</v>
      </c>
      <c r="DC43" s="43"/>
      <c r="DD43" s="53"/>
      <c r="DE43" s="73">
        <f t="shared" si="2"/>
        <v>0</v>
      </c>
      <c r="DG43" s="52"/>
      <c r="DH43" s="43"/>
      <c r="DI43" s="50">
        <f t="shared" si="3"/>
        <v>5712.0899999999992</v>
      </c>
      <c r="DK43" s="52">
        <v>40</v>
      </c>
      <c r="DL43" s="43">
        <v>1.32</v>
      </c>
      <c r="DM43" s="50">
        <f t="shared" si="4"/>
        <v>1371.11</v>
      </c>
      <c r="DO43" s="52"/>
      <c r="DP43" s="43"/>
      <c r="DQ43" s="50">
        <f t="shared" si="5"/>
        <v>7753.8999999999987</v>
      </c>
      <c r="DT43" s="52"/>
      <c r="DU43" s="43"/>
      <c r="DV43" s="50">
        <f t="shared" si="6"/>
        <v>361.19</v>
      </c>
      <c r="DX43" s="52"/>
      <c r="DY43" s="43"/>
      <c r="DZ43" s="53">
        <f t="shared" si="7"/>
        <v>-178.98</v>
      </c>
      <c r="EB43" s="52"/>
      <c r="EC43" s="43"/>
      <c r="ED43" s="53">
        <f t="shared" si="8"/>
        <v>0</v>
      </c>
      <c r="EF43" s="52"/>
      <c r="EG43" s="43"/>
      <c r="EH43" s="53">
        <f t="shared" si="9"/>
        <v>1225</v>
      </c>
      <c r="EJ43" s="65"/>
      <c r="EK43" s="7"/>
      <c r="EL43" s="53">
        <f t="shared" si="10"/>
        <v>100</v>
      </c>
      <c r="EN43" s="51">
        <f t="shared" si="11"/>
        <v>-5786.2699999999968</v>
      </c>
      <c r="EP43" s="60">
        <f t="shared" si="12"/>
        <v>0</v>
      </c>
      <c r="EQ43" s="61">
        <f t="shared" si="13"/>
        <v>0</v>
      </c>
      <c r="ER43" s="15">
        <f t="shared" si="14"/>
        <v>0</v>
      </c>
      <c r="ES43" s="62">
        <f t="shared" si="16"/>
        <v>0</v>
      </c>
      <c r="EU43" s="6">
        <v>32</v>
      </c>
    </row>
    <row r="44" spans="1:151" x14ac:dyDescent="0.45">
      <c r="A44" s="67">
        <v>45427</v>
      </c>
      <c r="B44" s="25" t="s">
        <v>742</v>
      </c>
      <c r="C44" s="10" t="s">
        <v>743</v>
      </c>
      <c r="D44" s="7"/>
      <c r="E44" s="43">
        <v>40</v>
      </c>
      <c r="F44" s="43">
        <v>1.32</v>
      </c>
      <c r="G44" s="16">
        <f t="shared" si="1"/>
        <v>10596.720000000001</v>
      </c>
      <c r="H44" s="64" t="s">
        <v>625</v>
      </c>
      <c r="I44" s="52"/>
      <c r="J44" s="43"/>
      <c r="K44" s="43"/>
      <c r="L44" s="43"/>
      <c r="M44" s="43"/>
      <c r="N44" s="43"/>
      <c r="O44" s="43"/>
      <c r="P44" s="43"/>
      <c r="Q44" s="43"/>
      <c r="R44" s="43"/>
      <c r="S44" s="43"/>
      <c r="T44" s="43"/>
      <c r="U44" s="43"/>
      <c r="V44" s="43"/>
      <c r="W44" s="43"/>
      <c r="X44" s="43"/>
      <c r="Y44" s="43"/>
      <c r="Z44" s="43">
        <v>40</v>
      </c>
      <c r="AA44" s="43"/>
      <c r="AB44" s="43"/>
      <c r="AC44" s="43"/>
      <c r="AD44" s="43"/>
      <c r="AE44" s="43"/>
      <c r="AF44" s="43"/>
      <c r="AG44" s="43"/>
      <c r="AH44" s="43"/>
      <c r="AI44" s="43"/>
      <c r="AJ44" s="43"/>
      <c r="AK44" s="43"/>
      <c r="AL44" s="43"/>
      <c r="AM44" s="43"/>
      <c r="AN44" s="43"/>
      <c r="AO44" s="43"/>
      <c r="AP44" s="43"/>
      <c r="AQ44" s="43"/>
      <c r="AR44" s="53"/>
      <c r="AS44" s="52"/>
      <c r="AT44" s="43"/>
      <c r="AU44" s="43"/>
      <c r="AV44" s="43"/>
      <c r="AW44" s="43"/>
      <c r="AX44" s="43"/>
      <c r="AY44" s="43"/>
      <c r="AZ44" s="43">
        <v>1.32</v>
      </c>
      <c r="BA44" s="43"/>
      <c r="BB44" s="43"/>
      <c r="BC44" s="43"/>
      <c r="BD44" s="43"/>
      <c r="BE44" s="43"/>
      <c r="BF44" s="43"/>
      <c r="BG44" s="43"/>
      <c r="BH44" s="43"/>
      <c r="BI44" s="43"/>
      <c r="BJ44" s="43"/>
      <c r="BK44" s="43"/>
      <c r="BL44" s="43"/>
      <c r="BM44" s="43"/>
      <c r="BN44" s="43"/>
      <c r="BO44" s="43"/>
      <c r="BP44" s="43"/>
      <c r="BQ44" s="43"/>
      <c r="BR44" s="43"/>
      <c r="BS44" s="43"/>
      <c r="BT44" s="43"/>
      <c r="BU44" s="43"/>
      <c r="BV44" s="43"/>
      <c r="BW44" s="53"/>
      <c r="BX44" s="30">
        <f t="shared" si="0"/>
        <v>0</v>
      </c>
      <c r="BY44" s="52"/>
      <c r="BZ44" s="43">
        <v>40</v>
      </c>
      <c r="CA44" s="43"/>
      <c r="CB44" s="43"/>
      <c r="CC44" s="43"/>
      <c r="CD44" s="43"/>
      <c r="CE44" s="43"/>
      <c r="CF44" s="43"/>
      <c r="CG44" s="53"/>
      <c r="CH44" s="52"/>
      <c r="CI44" s="43"/>
      <c r="CJ44" s="43"/>
      <c r="CK44" s="43"/>
      <c r="CL44" s="43"/>
      <c r="CM44" s="43"/>
      <c r="CN44" s="43"/>
      <c r="CO44" s="43"/>
      <c r="CP44" s="43"/>
      <c r="CQ44" s="43"/>
      <c r="CR44" s="43"/>
      <c r="CS44" s="43"/>
      <c r="CT44" s="43"/>
      <c r="CU44" s="43"/>
      <c r="CV44" s="43"/>
      <c r="CW44" s="43"/>
      <c r="CX44" s="43"/>
      <c r="CY44" s="43"/>
      <c r="CZ44" s="7"/>
      <c r="DA44" s="7"/>
      <c r="DB44" s="43">
        <v>1.32</v>
      </c>
      <c r="DC44" s="43"/>
      <c r="DD44" s="53"/>
      <c r="DE44" s="73">
        <f t="shared" si="2"/>
        <v>0</v>
      </c>
      <c r="DG44" s="52"/>
      <c r="DH44" s="43"/>
      <c r="DI44" s="50">
        <f t="shared" si="3"/>
        <v>5712.0899999999992</v>
      </c>
      <c r="DK44" s="52"/>
      <c r="DL44" s="43"/>
      <c r="DM44" s="50">
        <f t="shared" si="4"/>
        <v>1371.11</v>
      </c>
      <c r="DO44" s="52">
        <v>40</v>
      </c>
      <c r="DP44" s="43">
        <v>1.32</v>
      </c>
      <c r="DQ44" s="50">
        <f t="shared" si="5"/>
        <v>7792.579999999999</v>
      </c>
      <c r="DT44" s="52"/>
      <c r="DU44" s="43"/>
      <c r="DV44" s="50">
        <f t="shared" si="6"/>
        <v>361.19</v>
      </c>
      <c r="DX44" s="52"/>
      <c r="DY44" s="43"/>
      <c r="DZ44" s="53">
        <f t="shared" si="7"/>
        <v>-178.98</v>
      </c>
      <c r="EB44" s="52"/>
      <c r="EC44" s="43"/>
      <c r="ED44" s="53">
        <f t="shared" si="8"/>
        <v>0</v>
      </c>
      <c r="EF44" s="52"/>
      <c r="EG44" s="43"/>
      <c r="EH44" s="53">
        <f t="shared" si="9"/>
        <v>1225</v>
      </c>
      <c r="EJ44" s="65"/>
      <c r="EK44" s="7"/>
      <c r="EL44" s="53">
        <f t="shared" si="10"/>
        <v>100</v>
      </c>
      <c r="EN44" s="51">
        <f t="shared" si="11"/>
        <v>-5786.2699999999968</v>
      </c>
      <c r="EP44" s="60">
        <f t="shared" si="12"/>
        <v>0</v>
      </c>
      <c r="EQ44" s="61">
        <f t="shared" si="13"/>
        <v>0</v>
      </c>
      <c r="ER44" s="15">
        <f t="shared" si="14"/>
        <v>0</v>
      </c>
      <c r="ES44" s="163">
        <f t="shared" si="16"/>
        <v>0</v>
      </c>
      <c r="EU44">
        <v>33</v>
      </c>
    </row>
    <row r="45" spans="1:151" x14ac:dyDescent="0.45">
      <c r="A45" s="67">
        <v>45428</v>
      </c>
      <c r="B45" s="25" t="s">
        <v>745</v>
      </c>
      <c r="C45" s="10" t="s">
        <v>700</v>
      </c>
      <c r="D45" s="7"/>
      <c r="E45" s="43">
        <v>40</v>
      </c>
      <c r="F45" s="43">
        <v>1.32</v>
      </c>
      <c r="G45" s="16">
        <f t="shared" si="1"/>
        <v>10635.400000000001</v>
      </c>
      <c r="H45" s="64" t="s">
        <v>625</v>
      </c>
      <c r="I45" s="52"/>
      <c r="J45" s="43"/>
      <c r="K45" s="43"/>
      <c r="L45" s="43"/>
      <c r="M45" s="43"/>
      <c r="N45" s="43"/>
      <c r="O45" s="43"/>
      <c r="P45" s="43"/>
      <c r="Q45" s="43"/>
      <c r="R45" s="43"/>
      <c r="S45" s="43"/>
      <c r="T45" s="43"/>
      <c r="U45" s="43"/>
      <c r="V45" s="43"/>
      <c r="W45" s="43"/>
      <c r="X45" s="43"/>
      <c r="Y45" s="43">
        <v>40</v>
      </c>
      <c r="Z45" s="43"/>
      <c r="AA45" s="43"/>
      <c r="AB45" s="43"/>
      <c r="AC45" s="43"/>
      <c r="AD45" s="43"/>
      <c r="AE45" s="43"/>
      <c r="AF45" s="43"/>
      <c r="AG45" s="43"/>
      <c r="AH45" s="43"/>
      <c r="AI45" s="43"/>
      <c r="AJ45" s="43"/>
      <c r="AK45" s="43"/>
      <c r="AL45" s="43"/>
      <c r="AM45" s="43"/>
      <c r="AN45" s="43"/>
      <c r="AO45" s="43"/>
      <c r="AP45" s="43"/>
      <c r="AQ45" s="43"/>
      <c r="AR45" s="53"/>
      <c r="AS45" s="52"/>
      <c r="AT45" s="43"/>
      <c r="AU45" s="43"/>
      <c r="AV45" s="43"/>
      <c r="AW45" s="43"/>
      <c r="AX45" s="43"/>
      <c r="AY45" s="43">
        <v>1.32</v>
      </c>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53"/>
      <c r="BX45" s="30">
        <f t="shared" si="0"/>
        <v>0</v>
      </c>
      <c r="BY45" s="52"/>
      <c r="BZ45" s="43">
        <v>40</v>
      </c>
      <c r="CA45" s="43"/>
      <c r="CB45" s="43"/>
      <c r="CC45" s="43"/>
      <c r="CD45" s="43"/>
      <c r="CE45" s="43"/>
      <c r="CF45" s="43"/>
      <c r="CG45" s="53"/>
      <c r="CH45" s="52"/>
      <c r="CI45" s="43"/>
      <c r="CJ45" s="43"/>
      <c r="CK45" s="43"/>
      <c r="CL45" s="43"/>
      <c r="CM45" s="43"/>
      <c r="CN45" s="43"/>
      <c r="CO45" s="43"/>
      <c r="CP45" s="43"/>
      <c r="CQ45" s="43"/>
      <c r="CR45" s="43"/>
      <c r="CS45" s="43"/>
      <c r="CT45" s="43"/>
      <c r="CU45" s="43"/>
      <c r="CV45" s="43"/>
      <c r="CW45" s="43"/>
      <c r="CX45" s="43"/>
      <c r="CY45" s="43"/>
      <c r="CZ45" s="7"/>
      <c r="DA45" s="7"/>
      <c r="DB45" s="43">
        <v>1.32</v>
      </c>
      <c r="DC45" s="43"/>
      <c r="DD45" s="53"/>
      <c r="DE45" s="73">
        <f t="shared" si="2"/>
        <v>0</v>
      </c>
      <c r="DG45" s="52"/>
      <c r="DH45" s="43"/>
      <c r="DI45" s="50">
        <f t="shared" si="3"/>
        <v>5712.0899999999992</v>
      </c>
      <c r="DK45" s="52">
        <v>40</v>
      </c>
      <c r="DL45" s="43">
        <v>1.32</v>
      </c>
      <c r="DM45" s="50">
        <f t="shared" si="4"/>
        <v>1409.79</v>
      </c>
      <c r="DO45" s="52"/>
      <c r="DP45" s="43"/>
      <c r="DQ45" s="50">
        <f t="shared" si="5"/>
        <v>7792.579999999999</v>
      </c>
      <c r="DT45" s="52"/>
      <c r="DU45" s="43"/>
      <c r="DV45" s="50">
        <f t="shared" si="6"/>
        <v>361.19</v>
      </c>
      <c r="DX45" s="52"/>
      <c r="DY45" s="43"/>
      <c r="DZ45" s="53">
        <f t="shared" si="7"/>
        <v>-178.98</v>
      </c>
      <c r="EB45" s="52"/>
      <c r="EC45" s="43"/>
      <c r="ED45" s="53">
        <f t="shared" si="8"/>
        <v>0</v>
      </c>
      <c r="EF45" s="52"/>
      <c r="EG45" s="43"/>
      <c r="EH45" s="53">
        <f t="shared" si="9"/>
        <v>1225</v>
      </c>
      <c r="EJ45" s="65"/>
      <c r="EK45" s="7"/>
      <c r="EL45" s="53">
        <f t="shared" si="10"/>
        <v>100</v>
      </c>
      <c r="EN45" s="51">
        <f t="shared" si="11"/>
        <v>-5786.2699999999968</v>
      </c>
      <c r="EP45" s="60">
        <f t="shared" si="12"/>
        <v>0</v>
      </c>
      <c r="EQ45" s="61">
        <f t="shared" si="13"/>
        <v>0</v>
      </c>
      <c r="ER45" s="15">
        <f t="shared" si="14"/>
        <v>0</v>
      </c>
      <c r="ES45" s="62">
        <f t="shared" si="16"/>
        <v>0</v>
      </c>
      <c r="EU45" s="6">
        <v>34</v>
      </c>
    </row>
    <row r="46" spans="1:151" x14ac:dyDescent="0.45">
      <c r="A46" s="67">
        <v>45428</v>
      </c>
      <c r="B46" s="25" t="s">
        <v>747</v>
      </c>
      <c r="C46" s="10" t="s">
        <v>717</v>
      </c>
      <c r="D46" s="7"/>
      <c r="E46" s="43">
        <v>80</v>
      </c>
      <c r="F46" s="43">
        <v>2.64</v>
      </c>
      <c r="G46" s="16">
        <f t="shared" si="1"/>
        <v>10712.760000000002</v>
      </c>
      <c r="H46" s="64" t="s">
        <v>625</v>
      </c>
      <c r="I46" s="52"/>
      <c r="J46" s="43"/>
      <c r="K46" s="43"/>
      <c r="L46" s="43"/>
      <c r="M46" s="43"/>
      <c r="N46" s="43"/>
      <c r="O46" s="43"/>
      <c r="P46" s="43"/>
      <c r="Q46" s="43"/>
      <c r="R46" s="43"/>
      <c r="S46" s="43"/>
      <c r="T46" s="43"/>
      <c r="U46" s="43"/>
      <c r="V46" s="43"/>
      <c r="W46" s="43"/>
      <c r="X46" s="43">
        <v>80</v>
      </c>
      <c r="Y46" s="43"/>
      <c r="Z46" s="43"/>
      <c r="AA46" s="43"/>
      <c r="AB46" s="43"/>
      <c r="AC46" s="43"/>
      <c r="AD46" s="43"/>
      <c r="AE46" s="43"/>
      <c r="AF46" s="43"/>
      <c r="AG46" s="43"/>
      <c r="AH46" s="43"/>
      <c r="AI46" s="43"/>
      <c r="AJ46" s="43"/>
      <c r="AK46" s="43"/>
      <c r="AL46" s="43"/>
      <c r="AM46" s="43"/>
      <c r="AN46" s="43"/>
      <c r="AO46" s="43"/>
      <c r="AP46" s="43"/>
      <c r="AQ46" s="43"/>
      <c r="AR46" s="53"/>
      <c r="AS46" s="52"/>
      <c r="AT46" s="43"/>
      <c r="AU46" s="43"/>
      <c r="AV46" s="43"/>
      <c r="AW46" s="43"/>
      <c r="AX46" s="43">
        <v>2.64</v>
      </c>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53"/>
      <c r="BX46" s="30">
        <f t="shared" si="0"/>
        <v>0</v>
      </c>
      <c r="BY46" s="52"/>
      <c r="BZ46" s="43">
        <v>80</v>
      </c>
      <c r="CA46" s="43"/>
      <c r="CB46" s="43"/>
      <c r="CC46" s="43"/>
      <c r="CD46" s="43"/>
      <c r="CE46" s="43"/>
      <c r="CF46" s="43"/>
      <c r="CG46" s="53"/>
      <c r="CH46" s="52"/>
      <c r="CI46" s="43"/>
      <c r="CJ46" s="43"/>
      <c r="CK46" s="43"/>
      <c r="CL46" s="43"/>
      <c r="CM46" s="43"/>
      <c r="CN46" s="43"/>
      <c r="CO46" s="43"/>
      <c r="CP46" s="43"/>
      <c r="CQ46" s="43"/>
      <c r="CR46" s="43"/>
      <c r="CS46" s="43"/>
      <c r="CT46" s="43"/>
      <c r="CU46" s="43"/>
      <c r="CV46" s="43"/>
      <c r="CW46" s="43"/>
      <c r="CX46" s="43"/>
      <c r="CY46" s="43"/>
      <c r="CZ46" s="7"/>
      <c r="DA46" s="7"/>
      <c r="DB46" s="43">
        <v>2.64</v>
      </c>
      <c r="DC46" s="43"/>
      <c r="DD46" s="53"/>
      <c r="DE46" s="73">
        <f t="shared" si="2"/>
        <v>0</v>
      </c>
      <c r="DG46" s="52">
        <v>80</v>
      </c>
      <c r="DH46" s="43">
        <v>2.64</v>
      </c>
      <c r="DI46" s="50">
        <f t="shared" si="3"/>
        <v>5789.4499999999989</v>
      </c>
      <c r="DK46" s="52"/>
      <c r="DL46" s="43"/>
      <c r="DM46" s="50">
        <f t="shared" si="4"/>
        <v>1409.79</v>
      </c>
      <c r="DO46" s="52"/>
      <c r="DP46" s="43"/>
      <c r="DQ46" s="50">
        <f t="shared" si="5"/>
        <v>7792.579999999999</v>
      </c>
      <c r="DT46" s="52"/>
      <c r="DU46" s="43"/>
      <c r="DV46" s="50">
        <f t="shared" si="6"/>
        <v>361.19</v>
      </c>
      <c r="DX46" s="52"/>
      <c r="DY46" s="43"/>
      <c r="DZ46" s="53">
        <f t="shared" si="7"/>
        <v>-178.98</v>
      </c>
      <c r="EB46" s="52"/>
      <c r="EC46" s="43"/>
      <c r="ED46" s="53">
        <f t="shared" si="8"/>
        <v>0</v>
      </c>
      <c r="EF46" s="52"/>
      <c r="EG46" s="43"/>
      <c r="EH46" s="53">
        <f t="shared" si="9"/>
        <v>1225</v>
      </c>
      <c r="EJ46" s="65"/>
      <c r="EK46" s="7"/>
      <c r="EL46" s="53">
        <f t="shared" si="10"/>
        <v>100</v>
      </c>
      <c r="EN46" s="51">
        <f t="shared" si="11"/>
        <v>-5786.2699999999959</v>
      </c>
      <c r="EP46" s="60">
        <f t="shared" si="12"/>
        <v>0</v>
      </c>
      <c r="EQ46" s="61">
        <f t="shared" si="13"/>
        <v>0</v>
      </c>
      <c r="ER46" s="15">
        <f t="shared" si="14"/>
        <v>0</v>
      </c>
      <c r="ES46" s="163">
        <f t="shared" si="16"/>
        <v>0</v>
      </c>
      <c r="EU46">
        <v>35</v>
      </c>
    </row>
    <row r="47" spans="1:151" x14ac:dyDescent="0.45">
      <c r="A47" s="67">
        <v>45429</v>
      </c>
      <c r="B47" s="25" t="s">
        <v>746</v>
      </c>
      <c r="C47" s="10" t="s">
        <v>693</v>
      </c>
      <c r="D47" s="7"/>
      <c r="E47" s="43">
        <v>80</v>
      </c>
      <c r="F47" s="43">
        <v>2.64</v>
      </c>
      <c r="G47" s="66">
        <f t="shared" si="1"/>
        <v>10790.120000000003</v>
      </c>
      <c r="H47" s="64" t="s">
        <v>625</v>
      </c>
      <c r="I47" s="52"/>
      <c r="J47" s="43"/>
      <c r="K47" s="43"/>
      <c r="L47" s="43"/>
      <c r="M47" s="43"/>
      <c r="N47" s="43"/>
      <c r="O47" s="43"/>
      <c r="P47" s="43"/>
      <c r="Q47" s="43"/>
      <c r="R47" s="43"/>
      <c r="S47" s="43"/>
      <c r="T47" s="43"/>
      <c r="U47" s="43"/>
      <c r="V47" s="43"/>
      <c r="W47" s="43"/>
      <c r="X47" s="43"/>
      <c r="Y47" s="43"/>
      <c r="Z47" s="43">
        <v>80</v>
      </c>
      <c r="AA47" s="43"/>
      <c r="AB47" s="43"/>
      <c r="AC47" s="43"/>
      <c r="AD47" s="43"/>
      <c r="AE47" s="43"/>
      <c r="AF47" s="43"/>
      <c r="AG47" s="43"/>
      <c r="AH47" s="43"/>
      <c r="AI47" s="43"/>
      <c r="AJ47" s="43"/>
      <c r="AK47" s="43"/>
      <c r="AL47" s="43"/>
      <c r="AM47" s="43"/>
      <c r="AN47" s="43"/>
      <c r="AO47" s="43"/>
      <c r="AP47" s="43"/>
      <c r="AQ47" s="43"/>
      <c r="AR47" s="53"/>
      <c r="AS47" s="52"/>
      <c r="AT47" s="43"/>
      <c r="AU47" s="43"/>
      <c r="AV47" s="43"/>
      <c r="AW47" s="43"/>
      <c r="AX47" s="43"/>
      <c r="AY47" s="43"/>
      <c r="AZ47" s="43">
        <v>2.64</v>
      </c>
      <c r="BA47" s="43"/>
      <c r="BB47" s="43"/>
      <c r="BC47" s="43"/>
      <c r="BD47" s="43"/>
      <c r="BE47" s="43"/>
      <c r="BF47" s="43"/>
      <c r="BG47" s="43"/>
      <c r="BH47" s="43"/>
      <c r="BI47" s="43"/>
      <c r="BJ47" s="43"/>
      <c r="BK47" s="43"/>
      <c r="BL47" s="43"/>
      <c r="BM47" s="43"/>
      <c r="BN47" s="43"/>
      <c r="BO47" s="43"/>
      <c r="BP47" s="43"/>
      <c r="BQ47" s="43"/>
      <c r="BR47" s="43"/>
      <c r="BS47" s="43"/>
      <c r="BT47" s="43"/>
      <c r="BU47" s="43"/>
      <c r="BV47" s="43"/>
      <c r="BW47" s="53"/>
      <c r="BX47" s="30">
        <f t="shared" si="0"/>
        <v>0</v>
      </c>
      <c r="BY47" s="52"/>
      <c r="BZ47" s="43">
        <v>80</v>
      </c>
      <c r="CA47" s="43"/>
      <c r="CB47" s="43"/>
      <c r="CC47" s="43"/>
      <c r="CD47" s="43"/>
      <c r="CE47" s="43"/>
      <c r="CF47" s="43"/>
      <c r="CG47" s="53"/>
      <c r="CH47" s="52"/>
      <c r="CI47" s="43"/>
      <c r="CJ47" s="43"/>
      <c r="CK47" s="43"/>
      <c r="CL47" s="43"/>
      <c r="CM47" s="43"/>
      <c r="CN47" s="43"/>
      <c r="CO47" s="43"/>
      <c r="CP47" s="43"/>
      <c r="CQ47" s="43"/>
      <c r="CR47" s="43"/>
      <c r="CS47" s="43"/>
      <c r="CT47" s="43"/>
      <c r="CU47" s="43"/>
      <c r="CV47" s="43"/>
      <c r="CW47" s="43"/>
      <c r="CX47" s="43"/>
      <c r="CY47" s="43"/>
      <c r="CZ47" s="7"/>
      <c r="DA47" s="7"/>
      <c r="DB47" s="43">
        <v>2.64</v>
      </c>
      <c r="DC47" s="43"/>
      <c r="DD47" s="53"/>
      <c r="DE47" s="73">
        <f t="shared" si="2"/>
        <v>0</v>
      </c>
      <c r="DG47" s="52"/>
      <c r="DH47" s="43"/>
      <c r="DI47" s="50">
        <f t="shared" si="3"/>
        <v>5789.4499999999989</v>
      </c>
      <c r="DK47" s="52"/>
      <c r="DL47" s="43"/>
      <c r="DM47" s="50">
        <f t="shared" si="4"/>
        <v>1409.79</v>
      </c>
      <c r="DO47" s="52">
        <v>80</v>
      </c>
      <c r="DP47" s="43">
        <v>2.64</v>
      </c>
      <c r="DQ47" s="50">
        <f t="shared" si="5"/>
        <v>7869.9399999999987</v>
      </c>
      <c r="DT47" s="52"/>
      <c r="DU47" s="43"/>
      <c r="DV47" s="50">
        <f t="shared" si="6"/>
        <v>361.19</v>
      </c>
      <c r="DX47" s="52"/>
      <c r="DY47" s="43"/>
      <c r="DZ47" s="53">
        <f t="shared" si="7"/>
        <v>-178.98</v>
      </c>
      <c r="EB47" s="52"/>
      <c r="EC47" s="43"/>
      <c r="ED47" s="53">
        <f t="shared" si="8"/>
        <v>0</v>
      </c>
      <c r="EF47" s="52"/>
      <c r="EG47" s="43"/>
      <c r="EH47" s="53">
        <f t="shared" si="9"/>
        <v>1225</v>
      </c>
      <c r="EJ47" s="65"/>
      <c r="EK47" s="7"/>
      <c r="EL47" s="53">
        <f t="shared" si="10"/>
        <v>100</v>
      </c>
      <c r="EN47" s="51">
        <f t="shared" si="11"/>
        <v>-5786.269999999995</v>
      </c>
      <c r="EP47" s="60">
        <f t="shared" si="12"/>
        <v>0</v>
      </c>
      <c r="EQ47" s="61">
        <f t="shared" si="13"/>
        <v>0</v>
      </c>
      <c r="ER47" s="15">
        <f t="shared" si="14"/>
        <v>0</v>
      </c>
      <c r="ES47" s="62">
        <f t="shared" si="16"/>
        <v>0</v>
      </c>
      <c r="EU47" s="6">
        <v>36</v>
      </c>
    </row>
    <row r="48" spans="1:151" x14ac:dyDescent="0.45">
      <c r="A48" s="67">
        <v>45432</v>
      </c>
      <c r="B48" s="25" t="s">
        <v>749</v>
      </c>
      <c r="C48" s="10" t="s">
        <v>193</v>
      </c>
      <c r="D48" s="7"/>
      <c r="E48" s="43"/>
      <c r="F48" s="43">
        <v>50</v>
      </c>
      <c r="G48" s="16">
        <f t="shared" si="1"/>
        <v>10740.120000000003</v>
      </c>
      <c r="H48" s="64" t="s">
        <v>625</v>
      </c>
      <c r="I48" s="52"/>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53"/>
      <c r="AS48" s="52"/>
      <c r="AT48" s="43"/>
      <c r="AU48" s="43"/>
      <c r="AV48" s="43"/>
      <c r="AW48" s="43"/>
      <c r="AX48" s="43"/>
      <c r="AY48" s="43"/>
      <c r="AZ48" s="43"/>
      <c r="BA48" s="43"/>
      <c r="BB48" s="43">
        <v>50</v>
      </c>
      <c r="BC48" s="43"/>
      <c r="BD48" s="43"/>
      <c r="BE48" s="43"/>
      <c r="BF48" s="43"/>
      <c r="BG48" s="43"/>
      <c r="BH48" s="43"/>
      <c r="BI48" s="43"/>
      <c r="BJ48" s="43"/>
      <c r="BK48" s="43"/>
      <c r="BL48" s="43"/>
      <c r="BM48" s="43"/>
      <c r="BN48" s="43"/>
      <c r="BO48" s="43"/>
      <c r="BP48" s="43"/>
      <c r="BQ48" s="43"/>
      <c r="BR48" s="43"/>
      <c r="BS48" s="43"/>
      <c r="BT48" s="43"/>
      <c r="BU48" s="43"/>
      <c r="BV48" s="43"/>
      <c r="BW48" s="53"/>
      <c r="BX48" s="30">
        <f t="shared" si="0"/>
        <v>0</v>
      </c>
      <c r="BY48" s="52"/>
      <c r="BZ48" s="43"/>
      <c r="CA48" s="43"/>
      <c r="CB48" s="43"/>
      <c r="CC48" s="43"/>
      <c r="CD48" s="43"/>
      <c r="CE48" s="43"/>
      <c r="CF48" s="43"/>
      <c r="CG48" s="53"/>
      <c r="CH48" s="52">
        <v>50</v>
      </c>
      <c r="CI48" s="43"/>
      <c r="CJ48" s="43"/>
      <c r="CK48" s="43"/>
      <c r="CL48" s="43"/>
      <c r="CM48" s="43"/>
      <c r="CN48" s="43"/>
      <c r="CO48" s="43"/>
      <c r="CP48" s="43"/>
      <c r="CQ48" s="43"/>
      <c r="CR48" s="43"/>
      <c r="CS48" s="43"/>
      <c r="CT48" s="43"/>
      <c r="CU48" s="43"/>
      <c r="CV48" s="43"/>
      <c r="CW48" s="43"/>
      <c r="CX48" s="43"/>
      <c r="CY48" s="43"/>
      <c r="CZ48" s="7"/>
      <c r="DA48" s="7"/>
      <c r="DB48" s="43"/>
      <c r="DC48" s="43"/>
      <c r="DD48" s="53"/>
      <c r="DE48" s="73">
        <f t="shared" si="2"/>
        <v>0</v>
      </c>
      <c r="DG48" s="52"/>
      <c r="DH48" s="43"/>
      <c r="DI48" s="50">
        <f t="shared" si="3"/>
        <v>5789.4499999999989</v>
      </c>
      <c r="DK48" s="52"/>
      <c r="DL48" s="43"/>
      <c r="DM48" s="50">
        <f t="shared" si="4"/>
        <v>1409.79</v>
      </c>
      <c r="DO48" s="52"/>
      <c r="DP48" s="43"/>
      <c r="DQ48" s="50">
        <f t="shared" si="5"/>
        <v>7869.9399999999987</v>
      </c>
      <c r="DT48" s="52"/>
      <c r="DU48" s="43"/>
      <c r="DV48" s="50">
        <f t="shared" si="6"/>
        <v>361.19</v>
      </c>
      <c r="DX48" s="52"/>
      <c r="DY48" s="43">
        <v>50</v>
      </c>
      <c r="DZ48" s="53">
        <f t="shared" si="7"/>
        <v>-228.98</v>
      </c>
      <c r="EB48" s="52"/>
      <c r="EC48" s="43"/>
      <c r="ED48" s="53">
        <f t="shared" si="8"/>
        <v>0</v>
      </c>
      <c r="EF48" s="52"/>
      <c r="EG48" s="43"/>
      <c r="EH48" s="53">
        <f t="shared" si="9"/>
        <v>1225</v>
      </c>
      <c r="EJ48" s="65"/>
      <c r="EK48" s="7"/>
      <c r="EL48" s="53">
        <f t="shared" si="10"/>
        <v>100</v>
      </c>
      <c r="EN48" s="51">
        <f t="shared" si="11"/>
        <v>-5786.269999999995</v>
      </c>
      <c r="EP48" s="60">
        <f t="shared" si="12"/>
        <v>0</v>
      </c>
      <c r="EQ48" s="61">
        <f t="shared" si="13"/>
        <v>0</v>
      </c>
      <c r="ER48" s="15">
        <f t="shared" si="14"/>
        <v>0</v>
      </c>
      <c r="ES48" s="163">
        <f t="shared" si="16"/>
        <v>0</v>
      </c>
      <c r="EU48">
        <v>37</v>
      </c>
    </row>
    <row r="49" spans="1:151" ht="16.25" customHeight="1" x14ac:dyDescent="0.45">
      <c r="A49" s="67">
        <v>45432</v>
      </c>
      <c r="B49" s="25" t="s">
        <v>750</v>
      </c>
      <c r="C49" s="10" t="s">
        <v>192</v>
      </c>
      <c r="D49" s="7"/>
      <c r="E49" s="43"/>
      <c r="F49" s="43">
        <v>459.64</v>
      </c>
      <c r="G49" s="16">
        <f t="shared" si="1"/>
        <v>10280.480000000003</v>
      </c>
      <c r="H49" s="64" t="s">
        <v>625</v>
      </c>
      <c r="I49" s="52"/>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53"/>
      <c r="AS49" s="52"/>
      <c r="AT49" s="43"/>
      <c r="AU49" s="43"/>
      <c r="AV49" s="43"/>
      <c r="AW49" s="43"/>
      <c r="AX49" s="43"/>
      <c r="AY49" s="43"/>
      <c r="AZ49" s="43">
        <v>459.64</v>
      </c>
      <c r="BA49" s="43"/>
      <c r="BB49" s="43"/>
      <c r="BC49" s="43"/>
      <c r="BD49" s="43"/>
      <c r="BE49" s="43"/>
      <c r="BF49" s="43"/>
      <c r="BG49" s="43"/>
      <c r="BH49" s="43"/>
      <c r="BI49" s="43"/>
      <c r="BJ49" s="43"/>
      <c r="BK49" s="43"/>
      <c r="BL49" s="43"/>
      <c r="BM49" s="43"/>
      <c r="BN49" s="43"/>
      <c r="BO49" s="43"/>
      <c r="BP49" s="43"/>
      <c r="BQ49" s="43"/>
      <c r="BR49" s="43"/>
      <c r="BS49" s="43"/>
      <c r="BT49" s="43"/>
      <c r="BU49" s="43"/>
      <c r="BV49" s="43"/>
      <c r="BW49" s="53"/>
      <c r="BX49" s="30">
        <f t="shared" si="0"/>
        <v>0</v>
      </c>
      <c r="BY49" s="52"/>
      <c r="BZ49" s="43"/>
      <c r="CA49" s="43"/>
      <c r="CB49" s="43"/>
      <c r="CC49" s="43"/>
      <c r="CD49" s="43"/>
      <c r="CE49" s="43"/>
      <c r="CF49" s="43"/>
      <c r="CG49" s="53"/>
      <c r="CH49" s="52"/>
      <c r="CI49" s="43"/>
      <c r="CJ49" s="43"/>
      <c r="CK49" s="43"/>
      <c r="CL49" s="43"/>
      <c r="CM49" s="43"/>
      <c r="CN49" s="43"/>
      <c r="CO49" s="43"/>
      <c r="CP49" s="43">
        <v>459.64</v>
      </c>
      <c r="CQ49" s="43"/>
      <c r="CR49" s="43"/>
      <c r="CS49" s="43"/>
      <c r="CT49" s="43"/>
      <c r="CU49" s="43"/>
      <c r="CV49" s="43"/>
      <c r="CW49" s="43"/>
      <c r="CX49" s="43"/>
      <c r="CY49" s="43"/>
      <c r="CZ49" s="7"/>
      <c r="DA49" s="7"/>
      <c r="DB49" s="43"/>
      <c r="DC49" s="43"/>
      <c r="DD49" s="53"/>
      <c r="DE49" s="73">
        <f t="shared" si="2"/>
        <v>0</v>
      </c>
      <c r="DG49" s="52"/>
      <c r="DH49" s="43"/>
      <c r="DI49" s="50">
        <f t="shared" si="3"/>
        <v>5789.4499999999989</v>
      </c>
      <c r="DK49" s="52"/>
      <c r="DL49" s="43"/>
      <c r="DM49" s="50">
        <f t="shared" si="4"/>
        <v>1409.79</v>
      </c>
      <c r="DO49" s="52"/>
      <c r="DP49" s="43">
        <v>459.64</v>
      </c>
      <c r="DQ49" s="50">
        <f t="shared" si="5"/>
        <v>7410.2999999999984</v>
      </c>
      <c r="DT49" s="52"/>
      <c r="DU49" s="43"/>
      <c r="DV49" s="50">
        <f t="shared" si="6"/>
        <v>361.19</v>
      </c>
      <c r="DX49" s="52"/>
      <c r="DY49" s="43"/>
      <c r="DZ49" s="53">
        <f t="shared" si="7"/>
        <v>-228.98</v>
      </c>
      <c r="EB49" s="52"/>
      <c r="EC49" s="43"/>
      <c r="ED49" s="53">
        <f t="shared" si="8"/>
        <v>0</v>
      </c>
      <c r="EF49" s="52"/>
      <c r="EG49" s="43"/>
      <c r="EH49" s="53">
        <f t="shared" si="9"/>
        <v>1225</v>
      </c>
      <c r="EJ49" s="65"/>
      <c r="EK49" s="7"/>
      <c r="EL49" s="53">
        <f t="shared" si="10"/>
        <v>100</v>
      </c>
      <c r="EN49" s="51">
        <f t="shared" si="11"/>
        <v>-5786.2699999999941</v>
      </c>
      <c r="EP49" s="60">
        <f t="shared" si="12"/>
        <v>0</v>
      </c>
      <c r="EQ49" s="61">
        <f t="shared" si="13"/>
        <v>0</v>
      </c>
      <c r="ER49" s="15">
        <f t="shared" si="14"/>
        <v>0</v>
      </c>
      <c r="ES49" s="62">
        <f t="shared" si="16"/>
        <v>0</v>
      </c>
      <c r="ET49" t="s">
        <v>1005</v>
      </c>
      <c r="EU49" s="6">
        <v>38</v>
      </c>
    </row>
    <row r="50" spans="1:151" x14ac:dyDescent="0.45">
      <c r="A50" s="67">
        <v>45432</v>
      </c>
      <c r="B50" s="25" t="s">
        <v>745</v>
      </c>
      <c r="C50" s="10" t="s">
        <v>701</v>
      </c>
      <c r="D50" s="7"/>
      <c r="E50" s="43">
        <v>200</v>
      </c>
      <c r="F50" s="43">
        <v>6.6</v>
      </c>
      <c r="G50" s="16">
        <f t="shared" si="1"/>
        <v>10473.880000000003</v>
      </c>
      <c r="H50" s="64" t="s">
        <v>625</v>
      </c>
      <c r="I50" s="52"/>
      <c r="J50" s="43"/>
      <c r="K50" s="43"/>
      <c r="L50" s="43"/>
      <c r="M50" s="43"/>
      <c r="N50" s="43"/>
      <c r="O50" s="43"/>
      <c r="P50" s="43"/>
      <c r="Q50" s="43"/>
      <c r="R50" s="43"/>
      <c r="S50" s="43"/>
      <c r="T50" s="43"/>
      <c r="U50" s="43"/>
      <c r="V50" s="43"/>
      <c r="W50" s="43"/>
      <c r="X50" s="43"/>
      <c r="Y50" s="43">
        <v>200</v>
      </c>
      <c r="Z50" s="43"/>
      <c r="AA50" s="43"/>
      <c r="AB50" s="43"/>
      <c r="AC50" s="43"/>
      <c r="AD50" s="43"/>
      <c r="AE50" s="43"/>
      <c r="AF50" s="43"/>
      <c r="AG50" s="43"/>
      <c r="AH50" s="43"/>
      <c r="AI50" s="43"/>
      <c r="AJ50" s="43"/>
      <c r="AK50" s="43"/>
      <c r="AL50" s="43"/>
      <c r="AM50" s="43"/>
      <c r="AN50" s="43"/>
      <c r="AO50" s="43"/>
      <c r="AP50" s="43"/>
      <c r="AQ50" s="43"/>
      <c r="AR50" s="53"/>
      <c r="AS50" s="52"/>
      <c r="AT50" s="43"/>
      <c r="AU50" s="43"/>
      <c r="AV50" s="43"/>
      <c r="AW50" s="43"/>
      <c r="AX50" s="43"/>
      <c r="AY50" s="43">
        <v>6.6</v>
      </c>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53"/>
      <c r="BX50" s="30">
        <f t="shared" si="0"/>
        <v>0</v>
      </c>
      <c r="BY50" s="52"/>
      <c r="BZ50" s="43">
        <v>200</v>
      </c>
      <c r="CA50" s="43"/>
      <c r="CB50" s="43"/>
      <c r="CC50" s="43"/>
      <c r="CD50" s="43"/>
      <c r="CE50" s="43"/>
      <c r="CF50" s="43"/>
      <c r="CG50" s="53"/>
      <c r="CH50" s="52"/>
      <c r="CI50" s="43"/>
      <c r="CJ50" s="43"/>
      <c r="CK50" s="43"/>
      <c r="CL50" s="43"/>
      <c r="CM50" s="43"/>
      <c r="CN50" s="43"/>
      <c r="CO50" s="43"/>
      <c r="CP50" s="43"/>
      <c r="CQ50" s="43"/>
      <c r="CR50" s="43"/>
      <c r="CS50" s="43"/>
      <c r="CT50" s="43"/>
      <c r="CU50" s="43"/>
      <c r="CV50" s="43"/>
      <c r="CW50" s="43"/>
      <c r="CX50" s="43"/>
      <c r="CY50" s="43"/>
      <c r="CZ50" s="7"/>
      <c r="DA50" s="7"/>
      <c r="DB50" s="43">
        <v>6.6</v>
      </c>
      <c r="DC50" s="43"/>
      <c r="DD50" s="53"/>
      <c r="DE50" s="73">
        <f t="shared" si="2"/>
        <v>0</v>
      </c>
      <c r="DG50" s="52"/>
      <c r="DH50" s="43"/>
      <c r="DI50" s="50">
        <f t="shared" si="3"/>
        <v>5789.4499999999989</v>
      </c>
      <c r="DK50" s="52">
        <v>200</v>
      </c>
      <c r="DL50" s="43">
        <v>6.6</v>
      </c>
      <c r="DM50" s="50">
        <f t="shared" si="4"/>
        <v>1603.19</v>
      </c>
      <c r="DO50" s="52"/>
      <c r="DP50" s="43"/>
      <c r="DQ50" s="50">
        <f t="shared" si="5"/>
        <v>7410.2999999999984</v>
      </c>
      <c r="DT50" s="52"/>
      <c r="DU50" s="43"/>
      <c r="DV50" s="50">
        <f t="shared" si="6"/>
        <v>361.19</v>
      </c>
      <c r="DX50" s="52"/>
      <c r="DY50" s="43"/>
      <c r="DZ50" s="53">
        <f t="shared" si="7"/>
        <v>-228.98</v>
      </c>
      <c r="EB50" s="52"/>
      <c r="EC50" s="43"/>
      <c r="ED50" s="53">
        <f t="shared" si="8"/>
        <v>0</v>
      </c>
      <c r="EF50" s="52"/>
      <c r="EG50" s="43"/>
      <c r="EH50" s="53">
        <f t="shared" si="9"/>
        <v>1225</v>
      </c>
      <c r="EJ50" s="65"/>
      <c r="EK50" s="7"/>
      <c r="EL50" s="53">
        <f t="shared" si="10"/>
        <v>100</v>
      </c>
      <c r="EN50" s="51">
        <f t="shared" si="11"/>
        <v>-5786.2699999999941</v>
      </c>
      <c r="EP50" s="60">
        <f t="shared" si="12"/>
        <v>0</v>
      </c>
      <c r="EQ50" s="61">
        <f t="shared" si="13"/>
        <v>0</v>
      </c>
      <c r="ER50" s="15">
        <f t="shared" si="14"/>
        <v>0</v>
      </c>
      <c r="ES50" s="163">
        <f t="shared" si="16"/>
        <v>0</v>
      </c>
      <c r="EU50">
        <v>39</v>
      </c>
    </row>
    <row r="51" spans="1:151" x14ac:dyDescent="0.45">
      <c r="A51" s="67">
        <v>45432</v>
      </c>
      <c r="B51" s="25" t="s">
        <v>747</v>
      </c>
      <c r="C51" s="10" t="s">
        <v>718</v>
      </c>
      <c r="D51" s="7"/>
      <c r="E51" s="43">
        <v>40</v>
      </c>
      <c r="F51" s="43">
        <v>1.32</v>
      </c>
      <c r="G51" s="16">
        <f t="shared" si="1"/>
        <v>10512.560000000003</v>
      </c>
      <c r="H51" s="64" t="s">
        <v>625</v>
      </c>
      <c r="I51" s="52"/>
      <c r="J51" s="43"/>
      <c r="K51" s="43"/>
      <c r="L51" s="43"/>
      <c r="M51" s="43"/>
      <c r="N51" s="43"/>
      <c r="O51" s="43"/>
      <c r="P51" s="43"/>
      <c r="Q51" s="43"/>
      <c r="R51" s="43"/>
      <c r="S51" s="43"/>
      <c r="T51" s="43"/>
      <c r="U51" s="43"/>
      <c r="V51" s="43"/>
      <c r="W51" s="43"/>
      <c r="X51" s="43">
        <v>40</v>
      </c>
      <c r="Y51" s="43"/>
      <c r="Z51" s="43"/>
      <c r="AA51" s="43"/>
      <c r="AB51" s="43"/>
      <c r="AC51" s="43"/>
      <c r="AD51" s="43"/>
      <c r="AE51" s="43"/>
      <c r="AF51" s="43"/>
      <c r="AG51" s="43"/>
      <c r="AH51" s="43"/>
      <c r="AI51" s="43"/>
      <c r="AJ51" s="43"/>
      <c r="AK51" s="43"/>
      <c r="AL51" s="43"/>
      <c r="AM51" s="43"/>
      <c r="AN51" s="43"/>
      <c r="AO51" s="43"/>
      <c r="AP51" s="43"/>
      <c r="AQ51" s="43"/>
      <c r="AR51" s="53"/>
      <c r="AS51" s="52"/>
      <c r="AT51" s="43"/>
      <c r="AU51" s="43"/>
      <c r="AV51" s="43"/>
      <c r="AW51" s="43"/>
      <c r="AX51" s="43">
        <v>1.32</v>
      </c>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53"/>
      <c r="BX51" s="30">
        <f t="shared" si="0"/>
        <v>0</v>
      </c>
      <c r="BY51" s="52"/>
      <c r="BZ51" s="43">
        <v>40</v>
      </c>
      <c r="CA51" s="43"/>
      <c r="CB51" s="43"/>
      <c r="CC51" s="43"/>
      <c r="CD51" s="43"/>
      <c r="CE51" s="43"/>
      <c r="CF51" s="43"/>
      <c r="CG51" s="53"/>
      <c r="CH51" s="52"/>
      <c r="CI51" s="43"/>
      <c r="CJ51" s="43"/>
      <c r="CK51" s="43"/>
      <c r="CL51" s="43"/>
      <c r="CM51" s="43"/>
      <c r="CN51" s="43"/>
      <c r="CO51" s="43"/>
      <c r="CP51" s="43"/>
      <c r="CQ51" s="43"/>
      <c r="CR51" s="43"/>
      <c r="CS51" s="43"/>
      <c r="CT51" s="43"/>
      <c r="CU51" s="43"/>
      <c r="CV51" s="43"/>
      <c r="CW51" s="43"/>
      <c r="CX51" s="43"/>
      <c r="CY51" s="43"/>
      <c r="CZ51" s="7"/>
      <c r="DA51" s="7"/>
      <c r="DB51" s="43">
        <v>1.32</v>
      </c>
      <c r="DC51" s="43"/>
      <c r="DD51" s="53"/>
      <c r="DE51" s="73">
        <f t="shared" si="2"/>
        <v>0</v>
      </c>
      <c r="DG51" s="52">
        <v>40</v>
      </c>
      <c r="DH51" s="43">
        <v>1.32</v>
      </c>
      <c r="DI51" s="50">
        <f t="shared" si="3"/>
        <v>5828.1299999999992</v>
      </c>
      <c r="DK51" s="52"/>
      <c r="DL51" s="43"/>
      <c r="DM51" s="50">
        <f t="shared" si="4"/>
        <v>1603.19</v>
      </c>
      <c r="DO51" s="52"/>
      <c r="DP51" s="43"/>
      <c r="DQ51" s="50">
        <f t="shared" si="5"/>
        <v>7410.2999999999984</v>
      </c>
      <c r="DT51" s="52"/>
      <c r="DU51" s="43"/>
      <c r="DV51" s="50">
        <f t="shared" si="6"/>
        <v>361.19</v>
      </c>
      <c r="DX51" s="52"/>
      <c r="DY51" s="43"/>
      <c r="DZ51" s="53">
        <f t="shared" si="7"/>
        <v>-228.98</v>
      </c>
      <c r="EB51" s="52"/>
      <c r="EC51" s="43"/>
      <c r="ED51" s="53">
        <f t="shared" si="8"/>
        <v>0</v>
      </c>
      <c r="EF51" s="52"/>
      <c r="EG51" s="43"/>
      <c r="EH51" s="53">
        <f t="shared" si="9"/>
        <v>1225</v>
      </c>
      <c r="EJ51" s="65"/>
      <c r="EK51" s="7"/>
      <c r="EL51" s="53">
        <f t="shared" si="10"/>
        <v>100</v>
      </c>
      <c r="EN51" s="51">
        <f t="shared" si="11"/>
        <v>-5786.2699999999941</v>
      </c>
      <c r="EP51" s="60">
        <f t="shared" si="12"/>
        <v>0</v>
      </c>
      <c r="EQ51" s="61">
        <f t="shared" si="13"/>
        <v>0</v>
      </c>
      <c r="ER51" s="15">
        <f t="shared" si="14"/>
        <v>0</v>
      </c>
      <c r="ES51" s="62">
        <f t="shared" si="16"/>
        <v>0</v>
      </c>
      <c r="EU51" s="6">
        <v>40</v>
      </c>
    </row>
    <row r="52" spans="1:151" x14ac:dyDescent="0.45">
      <c r="A52" s="67">
        <v>45432</v>
      </c>
      <c r="B52" s="25" t="s">
        <v>748</v>
      </c>
      <c r="C52" s="10" t="s">
        <v>707</v>
      </c>
      <c r="D52" s="7"/>
      <c r="E52" s="43">
        <v>40</v>
      </c>
      <c r="F52" s="43">
        <v>1.32</v>
      </c>
      <c r="G52" s="16">
        <f t="shared" si="1"/>
        <v>10551.240000000003</v>
      </c>
      <c r="H52" s="64" t="s">
        <v>625</v>
      </c>
      <c r="I52" s="52"/>
      <c r="J52" s="43"/>
      <c r="K52" s="43"/>
      <c r="L52" s="43"/>
      <c r="M52" s="43"/>
      <c r="N52" s="43"/>
      <c r="O52" s="43"/>
      <c r="P52" s="43"/>
      <c r="Q52" s="43"/>
      <c r="R52" s="43"/>
      <c r="S52" s="43"/>
      <c r="T52" s="43"/>
      <c r="U52" s="43"/>
      <c r="V52" s="43"/>
      <c r="W52" s="43"/>
      <c r="X52" s="43"/>
      <c r="Y52" s="43">
        <v>40</v>
      </c>
      <c r="Z52" s="43"/>
      <c r="AA52" s="43"/>
      <c r="AB52" s="43"/>
      <c r="AC52" s="43"/>
      <c r="AD52" s="43"/>
      <c r="AE52" s="43"/>
      <c r="AF52" s="43"/>
      <c r="AG52" s="43"/>
      <c r="AH52" s="43"/>
      <c r="AI52" s="43"/>
      <c r="AJ52" s="43"/>
      <c r="AK52" s="43"/>
      <c r="AL52" s="43"/>
      <c r="AM52" s="43"/>
      <c r="AN52" s="43"/>
      <c r="AO52" s="43"/>
      <c r="AP52" s="43"/>
      <c r="AQ52" s="43"/>
      <c r="AR52" s="53"/>
      <c r="AS52" s="52"/>
      <c r="AT52" s="43"/>
      <c r="AU52" s="43"/>
      <c r="AV52" s="43"/>
      <c r="AW52" s="43"/>
      <c r="AX52" s="43"/>
      <c r="AY52" s="43">
        <v>1.32</v>
      </c>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53"/>
      <c r="BX52" s="30">
        <f t="shared" si="0"/>
        <v>0</v>
      </c>
      <c r="BY52" s="52"/>
      <c r="BZ52" s="43">
        <v>40</v>
      </c>
      <c r="CA52" s="43"/>
      <c r="CB52" s="43"/>
      <c r="CC52" s="43"/>
      <c r="CD52" s="43"/>
      <c r="CE52" s="43"/>
      <c r="CF52" s="43"/>
      <c r="CG52" s="53"/>
      <c r="CH52" s="52"/>
      <c r="CI52" s="43"/>
      <c r="CJ52" s="43"/>
      <c r="CK52" s="43"/>
      <c r="CL52" s="43"/>
      <c r="CM52" s="43"/>
      <c r="CN52" s="43"/>
      <c r="CO52" s="43"/>
      <c r="CP52" s="43"/>
      <c r="CQ52" s="43"/>
      <c r="CR52" s="43"/>
      <c r="CS52" s="43"/>
      <c r="CT52" s="43"/>
      <c r="CU52" s="43"/>
      <c r="CV52" s="43"/>
      <c r="CW52" s="43"/>
      <c r="CX52" s="43"/>
      <c r="CY52" s="43"/>
      <c r="CZ52" s="7"/>
      <c r="DA52" s="7"/>
      <c r="DB52" s="43">
        <v>1.32</v>
      </c>
      <c r="DC52" s="43"/>
      <c r="DD52" s="53"/>
      <c r="DE52" s="73">
        <f t="shared" si="2"/>
        <v>0</v>
      </c>
      <c r="DG52" s="52"/>
      <c r="DH52" s="43"/>
      <c r="DI52" s="50">
        <f t="shared" si="3"/>
        <v>5828.1299999999992</v>
      </c>
      <c r="DK52" s="52">
        <v>40</v>
      </c>
      <c r="DL52" s="43">
        <v>1.32</v>
      </c>
      <c r="DM52" s="50">
        <f t="shared" si="4"/>
        <v>1641.8700000000001</v>
      </c>
      <c r="DO52" s="52"/>
      <c r="DP52" s="43"/>
      <c r="DQ52" s="50">
        <f t="shared" si="5"/>
        <v>7410.2999999999984</v>
      </c>
      <c r="DT52" s="52"/>
      <c r="DU52" s="43"/>
      <c r="DV52" s="50">
        <f t="shared" si="6"/>
        <v>361.19</v>
      </c>
      <c r="DX52" s="52"/>
      <c r="DY52" s="43"/>
      <c r="DZ52" s="53">
        <f t="shared" si="7"/>
        <v>-228.98</v>
      </c>
      <c r="EB52" s="52"/>
      <c r="EC52" s="43"/>
      <c r="ED52" s="53">
        <f t="shared" si="8"/>
        <v>0</v>
      </c>
      <c r="EF52" s="52"/>
      <c r="EG52" s="43"/>
      <c r="EH52" s="53">
        <f t="shared" si="9"/>
        <v>1225</v>
      </c>
      <c r="EJ52" s="65"/>
      <c r="EK52" s="7"/>
      <c r="EL52" s="53">
        <f t="shared" si="10"/>
        <v>100</v>
      </c>
      <c r="EN52" s="51">
        <f t="shared" si="11"/>
        <v>-5786.2699999999941</v>
      </c>
      <c r="EP52" s="60">
        <f t="shared" si="12"/>
        <v>0</v>
      </c>
      <c r="EQ52" s="61">
        <f t="shared" si="13"/>
        <v>0</v>
      </c>
      <c r="ER52" s="15">
        <f t="shared" si="14"/>
        <v>0</v>
      </c>
      <c r="ES52" s="163">
        <f t="shared" si="16"/>
        <v>0</v>
      </c>
      <c r="EU52">
        <v>41</v>
      </c>
    </row>
    <row r="53" spans="1:151" x14ac:dyDescent="0.45">
      <c r="A53" s="67">
        <v>45433</v>
      </c>
      <c r="B53" s="25" t="s">
        <v>745</v>
      </c>
      <c r="C53" s="10" t="s">
        <v>751</v>
      </c>
      <c r="D53" s="7"/>
      <c r="E53" s="43">
        <v>80</v>
      </c>
      <c r="F53" s="43">
        <v>2.64</v>
      </c>
      <c r="G53" s="16">
        <f t="shared" si="1"/>
        <v>10628.600000000004</v>
      </c>
      <c r="H53" s="64" t="s">
        <v>625</v>
      </c>
      <c r="I53" s="52"/>
      <c r="J53" s="43"/>
      <c r="K53" s="43"/>
      <c r="L53" s="43"/>
      <c r="M53" s="43"/>
      <c r="N53" s="43"/>
      <c r="O53" s="43"/>
      <c r="P53" s="43"/>
      <c r="Q53" s="43"/>
      <c r="R53" s="43"/>
      <c r="S53" s="43"/>
      <c r="T53" s="43"/>
      <c r="U53" s="43"/>
      <c r="V53" s="43"/>
      <c r="W53" s="43"/>
      <c r="X53" s="43"/>
      <c r="Y53" s="43">
        <v>80</v>
      </c>
      <c r="Z53" s="43"/>
      <c r="AA53" s="43"/>
      <c r="AB53" s="43"/>
      <c r="AC53" s="43"/>
      <c r="AD53" s="43"/>
      <c r="AE53" s="43"/>
      <c r="AF53" s="43"/>
      <c r="AG53" s="43"/>
      <c r="AH53" s="43"/>
      <c r="AI53" s="43"/>
      <c r="AJ53" s="43"/>
      <c r="AK53" s="43"/>
      <c r="AL53" s="43"/>
      <c r="AM53" s="43"/>
      <c r="AN53" s="43"/>
      <c r="AO53" s="43"/>
      <c r="AP53" s="43"/>
      <c r="AQ53" s="43"/>
      <c r="AR53" s="53"/>
      <c r="AS53" s="52"/>
      <c r="AT53" s="43"/>
      <c r="AU53" s="43"/>
      <c r="AV53" s="43"/>
      <c r="AW53" s="43"/>
      <c r="AX53" s="43"/>
      <c r="AY53" s="43">
        <v>2.64</v>
      </c>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53"/>
      <c r="BX53" s="30">
        <f t="shared" si="0"/>
        <v>0</v>
      </c>
      <c r="BY53" s="52"/>
      <c r="BZ53" s="43">
        <v>80</v>
      </c>
      <c r="CA53" s="43"/>
      <c r="CB53" s="43"/>
      <c r="CC53" s="43"/>
      <c r="CD53" s="43"/>
      <c r="CE53" s="43"/>
      <c r="CF53" s="43"/>
      <c r="CG53" s="53"/>
      <c r="CH53" s="52"/>
      <c r="CI53" s="43"/>
      <c r="CJ53" s="43"/>
      <c r="CK53" s="43"/>
      <c r="CL53" s="43"/>
      <c r="CM53" s="43"/>
      <c r="CN53" s="43"/>
      <c r="CO53" s="43"/>
      <c r="CP53" s="43"/>
      <c r="CQ53" s="43"/>
      <c r="CR53" s="43"/>
      <c r="CS53" s="43"/>
      <c r="CT53" s="43"/>
      <c r="CU53" s="43"/>
      <c r="CV53" s="43"/>
      <c r="CW53" s="43"/>
      <c r="CX53" s="43"/>
      <c r="CY53" s="43"/>
      <c r="CZ53" s="7"/>
      <c r="DA53" s="7"/>
      <c r="DB53" s="43">
        <v>2.64</v>
      </c>
      <c r="DC53" s="43"/>
      <c r="DD53" s="53"/>
      <c r="DE53" s="73">
        <f t="shared" si="2"/>
        <v>0</v>
      </c>
      <c r="DG53" s="52"/>
      <c r="DH53" s="43"/>
      <c r="DI53" s="50">
        <f t="shared" si="3"/>
        <v>5828.1299999999992</v>
      </c>
      <c r="DK53" s="52">
        <v>80</v>
      </c>
      <c r="DL53" s="43">
        <v>2.64</v>
      </c>
      <c r="DM53" s="50">
        <f t="shared" si="4"/>
        <v>1719.23</v>
      </c>
      <c r="DO53" s="52"/>
      <c r="DP53" s="43"/>
      <c r="DQ53" s="50">
        <f t="shared" si="5"/>
        <v>7410.2999999999984</v>
      </c>
      <c r="DT53" s="52"/>
      <c r="DU53" s="43"/>
      <c r="DV53" s="50">
        <f t="shared" si="6"/>
        <v>361.19</v>
      </c>
      <c r="DX53" s="52"/>
      <c r="DY53" s="43"/>
      <c r="DZ53" s="53">
        <f t="shared" si="7"/>
        <v>-228.98</v>
      </c>
      <c r="EB53" s="52"/>
      <c r="EC53" s="43"/>
      <c r="ED53" s="53">
        <f t="shared" si="8"/>
        <v>0</v>
      </c>
      <c r="EF53" s="52"/>
      <c r="EG53" s="43"/>
      <c r="EH53" s="53">
        <f t="shared" si="9"/>
        <v>1225</v>
      </c>
      <c r="EJ53" s="65"/>
      <c r="EK53" s="7"/>
      <c r="EL53" s="53">
        <f t="shared" si="10"/>
        <v>100</v>
      </c>
      <c r="EN53" s="51">
        <f t="shared" si="11"/>
        <v>-5786.2699999999941</v>
      </c>
      <c r="EP53" s="60">
        <f t="shared" si="12"/>
        <v>0</v>
      </c>
      <c r="EQ53" s="61">
        <f t="shared" si="13"/>
        <v>0</v>
      </c>
      <c r="ER53" s="15">
        <f t="shared" si="14"/>
        <v>0</v>
      </c>
      <c r="ES53" s="62">
        <f t="shared" si="16"/>
        <v>0</v>
      </c>
      <c r="EU53" s="6">
        <v>42</v>
      </c>
    </row>
    <row r="54" spans="1:151" x14ac:dyDescent="0.45">
      <c r="A54" s="67">
        <v>45435</v>
      </c>
      <c r="B54" s="25" t="s">
        <v>753</v>
      </c>
      <c r="C54" s="10" t="s">
        <v>708</v>
      </c>
      <c r="D54" s="7"/>
      <c r="E54" s="43">
        <v>94</v>
      </c>
      <c r="F54" s="43">
        <f>3.24+1.86</f>
        <v>5.1000000000000005</v>
      </c>
      <c r="G54" s="16">
        <f t="shared" si="1"/>
        <v>10717.500000000004</v>
      </c>
      <c r="H54" s="64" t="s">
        <v>625</v>
      </c>
      <c r="I54" s="52"/>
      <c r="J54" s="43"/>
      <c r="K54" s="43"/>
      <c r="L54" s="43"/>
      <c r="M54" s="43"/>
      <c r="N54" s="43"/>
      <c r="O54" s="43"/>
      <c r="P54" s="43"/>
      <c r="Q54" s="43"/>
      <c r="R54" s="43"/>
      <c r="S54" s="43"/>
      <c r="T54" s="43"/>
      <c r="U54" s="43"/>
      <c r="V54" s="43"/>
      <c r="W54" s="43"/>
      <c r="X54" s="43"/>
      <c r="Y54" s="43">
        <v>94</v>
      </c>
      <c r="Z54" s="43"/>
      <c r="AA54" s="43"/>
      <c r="AB54" s="43"/>
      <c r="AC54" s="43"/>
      <c r="AD54" s="43"/>
      <c r="AE54" s="43"/>
      <c r="AF54" s="43"/>
      <c r="AG54" s="43"/>
      <c r="AH54" s="43"/>
      <c r="AI54" s="43"/>
      <c r="AJ54" s="43"/>
      <c r="AK54" s="43"/>
      <c r="AL54" s="43"/>
      <c r="AM54" s="43"/>
      <c r="AN54" s="43"/>
      <c r="AO54" s="43"/>
      <c r="AP54" s="43"/>
      <c r="AQ54" s="43"/>
      <c r="AR54" s="53"/>
      <c r="AS54" s="52"/>
      <c r="AT54" s="43"/>
      <c r="AU54" s="43"/>
      <c r="AV54" s="43"/>
      <c r="AW54" s="43"/>
      <c r="AX54" s="43"/>
      <c r="AY54" s="43">
        <v>5.0999999999999996</v>
      </c>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53"/>
      <c r="BX54" s="30">
        <f t="shared" si="0"/>
        <v>0</v>
      </c>
      <c r="BY54" s="52"/>
      <c r="BZ54" s="43">
        <v>40</v>
      </c>
      <c r="CA54" s="43">
        <v>54</v>
      </c>
      <c r="CB54" s="43"/>
      <c r="CC54" s="43"/>
      <c r="CD54" s="43"/>
      <c r="CE54" s="43"/>
      <c r="CF54" s="43"/>
      <c r="CG54" s="53"/>
      <c r="CH54" s="52"/>
      <c r="CI54" s="43"/>
      <c r="CJ54" s="43"/>
      <c r="CK54" s="43"/>
      <c r="CL54" s="43"/>
      <c r="CM54" s="43"/>
      <c r="CN54" s="43"/>
      <c r="CO54" s="43"/>
      <c r="CP54" s="43"/>
      <c r="CQ54" s="43"/>
      <c r="CR54" s="43"/>
      <c r="CS54" s="43"/>
      <c r="CT54" s="43"/>
      <c r="CU54" s="43"/>
      <c r="CV54" s="43"/>
      <c r="CW54" s="43"/>
      <c r="CX54" s="43"/>
      <c r="CY54" s="43"/>
      <c r="CZ54" s="7"/>
      <c r="DA54" s="7"/>
      <c r="DB54" s="43">
        <v>5.0999999999999996</v>
      </c>
      <c r="DC54" s="43"/>
      <c r="DD54" s="53"/>
      <c r="DE54" s="73">
        <f t="shared" si="2"/>
        <v>0</v>
      </c>
      <c r="DG54" s="52"/>
      <c r="DH54" s="43"/>
      <c r="DI54" s="50">
        <f t="shared" si="3"/>
        <v>5828.1299999999992</v>
      </c>
      <c r="DK54" s="52">
        <v>94</v>
      </c>
      <c r="DL54" s="43">
        <v>5.0999999999999996</v>
      </c>
      <c r="DM54" s="50">
        <f t="shared" si="4"/>
        <v>1808.13</v>
      </c>
      <c r="DO54" s="52"/>
      <c r="DP54" s="43"/>
      <c r="DQ54" s="50">
        <f t="shared" si="5"/>
        <v>7410.2999999999984</v>
      </c>
      <c r="DT54" s="52"/>
      <c r="DU54" s="43"/>
      <c r="DV54" s="50">
        <f t="shared" si="6"/>
        <v>361.19</v>
      </c>
      <c r="DX54" s="52"/>
      <c r="DY54" s="43"/>
      <c r="DZ54" s="53">
        <f t="shared" si="7"/>
        <v>-228.98</v>
      </c>
      <c r="EB54" s="52"/>
      <c r="EC54" s="43"/>
      <c r="ED54" s="53">
        <f t="shared" si="8"/>
        <v>0</v>
      </c>
      <c r="EF54" s="52"/>
      <c r="EG54" s="43"/>
      <c r="EH54" s="53">
        <f t="shared" si="9"/>
        <v>1225</v>
      </c>
      <c r="EJ54" s="65"/>
      <c r="EK54" s="7"/>
      <c r="EL54" s="53">
        <f t="shared" si="10"/>
        <v>100</v>
      </c>
      <c r="EN54" s="51">
        <f t="shared" si="11"/>
        <v>-5786.2699999999941</v>
      </c>
      <c r="EP54" s="60">
        <f t="shared" si="12"/>
        <v>0</v>
      </c>
      <c r="EQ54" s="61">
        <f t="shared" si="13"/>
        <v>0</v>
      </c>
      <c r="ER54" s="15">
        <f t="shared" si="14"/>
        <v>0</v>
      </c>
      <c r="ES54" s="163">
        <f t="shared" si="16"/>
        <v>0</v>
      </c>
      <c r="EU54">
        <v>43</v>
      </c>
    </row>
    <row r="55" spans="1:151" x14ac:dyDescent="0.45">
      <c r="A55" s="67">
        <v>45435</v>
      </c>
      <c r="B55" s="25" t="s">
        <v>752</v>
      </c>
      <c r="C55" s="10" t="s">
        <v>754</v>
      </c>
      <c r="D55" s="7"/>
      <c r="E55" s="43">
        <v>54</v>
      </c>
      <c r="F55" s="43">
        <f>2.7+1.08</f>
        <v>3.7800000000000002</v>
      </c>
      <c r="G55" s="16">
        <f t="shared" si="1"/>
        <v>10767.720000000003</v>
      </c>
      <c r="H55" s="64" t="s">
        <v>625</v>
      </c>
      <c r="I55" s="52"/>
      <c r="J55" s="43"/>
      <c r="K55" s="43"/>
      <c r="L55" s="43"/>
      <c r="M55" s="43"/>
      <c r="N55" s="43"/>
      <c r="O55" s="43"/>
      <c r="P55" s="43"/>
      <c r="Q55" s="43"/>
      <c r="R55" s="43"/>
      <c r="S55" s="43"/>
      <c r="T55" s="43"/>
      <c r="U55" s="43"/>
      <c r="V55" s="43"/>
      <c r="W55" s="43"/>
      <c r="X55" s="43">
        <v>54</v>
      </c>
      <c r="Y55" s="43"/>
      <c r="Z55" s="43"/>
      <c r="AA55" s="43"/>
      <c r="AB55" s="43"/>
      <c r="AC55" s="43"/>
      <c r="AD55" s="43"/>
      <c r="AE55" s="43"/>
      <c r="AF55" s="43"/>
      <c r="AG55" s="43"/>
      <c r="AH55" s="43"/>
      <c r="AI55" s="43"/>
      <c r="AJ55" s="43"/>
      <c r="AK55" s="43"/>
      <c r="AL55" s="43"/>
      <c r="AM55" s="43"/>
      <c r="AN55" s="43"/>
      <c r="AO55" s="43"/>
      <c r="AP55" s="43"/>
      <c r="AQ55" s="43"/>
      <c r="AR55" s="53"/>
      <c r="AS55" s="52"/>
      <c r="AT55" s="43"/>
      <c r="AU55" s="43"/>
      <c r="AV55" s="43"/>
      <c r="AW55" s="43"/>
      <c r="AX55" s="43">
        <v>3.78</v>
      </c>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53"/>
      <c r="BX55" s="30">
        <f t="shared" si="0"/>
        <v>0</v>
      </c>
      <c r="BY55" s="52"/>
      <c r="BZ55" s="43"/>
      <c r="CA55" s="43">
        <v>54</v>
      </c>
      <c r="CB55" s="43"/>
      <c r="CC55" s="43"/>
      <c r="CD55" s="43"/>
      <c r="CE55" s="43"/>
      <c r="CF55" s="43"/>
      <c r="CG55" s="53"/>
      <c r="CH55" s="52"/>
      <c r="CI55" s="43"/>
      <c r="CJ55" s="43"/>
      <c r="CK55" s="43"/>
      <c r="CL55" s="43"/>
      <c r="CM55" s="43"/>
      <c r="CN55" s="43"/>
      <c r="CO55" s="43"/>
      <c r="CP55" s="43"/>
      <c r="CQ55" s="43"/>
      <c r="CR55" s="43"/>
      <c r="CS55" s="43"/>
      <c r="CT55" s="43"/>
      <c r="CU55" s="43"/>
      <c r="CV55" s="43"/>
      <c r="CW55" s="43"/>
      <c r="CX55" s="43"/>
      <c r="CY55" s="43"/>
      <c r="CZ55" s="7"/>
      <c r="DA55" s="7"/>
      <c r="DB55" s="43">
        <v>3.78</v>
      </c>
      <c r="DC55" s="43"/>
      <c r="DD55" s="53"/>
      <c r="DE55" s="73">
        <f t="shared" si="2"/>
        <v>0</v>
      </c>
      <c r="DG55" s="52">
        <v>54</v>
      </c>
      <c r="DH55" s="43">
        <v>3.78</v>
      </c>
      <c r="DI55" s="50">
        <f t="shared" si="3"/>
        <v>5878.3499999999995</v>
      </c>
      <c r="DK55" s="52"/>
      <c r="DL55" s="43"/>
      <c r="DM55" s="50">
        <f t="shared" si="4"/>
        <v>1808.13</v>
      </c>
      <c r="DO55" s="52"/>
      <c r="DP55" s="43"/>
      <c r="DQ55" s="50">
        <f t="shared" si="5"/>
        <v>7410.2999999999984</v>
      </c>
      <c r="DT55" s="52"/>
      <c r="DU55" s="43"/>
      <c r="DV55" s="50">
        <f t="shared" si="6"/>
        <v>361.19</v>
      </c>
      <c r="DX55" s="52"/>
      <c r="DY55" s="43"/>
      <c r="DZ55" s="53">
        <f t="shared" si="7"/>
        <v>-228.98</v>
      </c>
      <c r="EB55" s="52"/>
      <c r="EC55" s="43"/>
      <c r="ED55" s="53">
        <f t="shared" si="8"/>
        <v>0</v>
      </c>
      <c r="EF55" s="52"/>
      <c r="EG55" s="43"/>
      <c r="EH55" s="53">
        <f t="shared" si="9"/>
        <v>1225</v>
      </c>
      <c r="EJ55" s="65"/>
      <c r="EK55" s="7"/>
      <c r="EL55" s="53">
        <f t="shared" si="10"/>
        <v>100</v>
      </c>
      <c r="EN55" s="51">
        <f t="shared" si="11"/>
        <v>-5786.269999999995</v>
      </c>
      <c r="EP55" s="60">
        <f t="shared" si="12"/>
        <v>0</v>
      </c>
      <c r="EQ55" s="61">
        <f t="shared" si="13"/>
        <v>0</v>
      </c>
      <c r="ER55" s="15">
        <f t="shared" si="14"/>
        <v>0</v>
      </c>
      <c r="ES55" s="62">
        <f t="shared" si="16"/>
        <v>0</v>
      </c>
      <c r="EU55" s="6">
        <v>44</v>
      </c>
    </row>
    <row r="56" spans="1:151" x14ac:dyDescent="0.45">
      <c r="A56" s="67">
        <v>45435</v>
      </c>
      <c r="B56" s="25" t="s">
        <v>755</v>
      </c>
      <c r="C56" s="10" t="s">
        <v>756</v>
      </c>
      <c r="D56" s="7"/>
      <c r="E56" s="43">
        <v>45.5</v>
      </c>
      <c r="F56" s="43">
        <f>0.96+0.89</f>
        <v>1.85</v>
      </c>
      <c r="G56" s="16">
        <f t="shared" si="1"/>
        <v>10811.370000000003</v>
      </c>
      <c r="H56" s="64" t="s">
        <v>625</v>
      </c>
      <c r="I56" s="52"/>
      <c r="J56" s="43"/>
      <c r="K56" s="43"/>
      <c r="L56" s="43"/>
      <c r="M56" s="43"/>
      <c r="N56" s="43"/>
      <c r="O56" s="43"/>
      <c r="P56" s="43"/>
      <c r="Q56" s="43"/>
      <c r="R56" s="43"/>
      <c r="S56" s="43"/>
      <c r="T56" s="43"/>
      <c r="U56" s="43"/>
      <c r="V56" s="43"/>
      <c r="W56" s="43"/>
      <c r="X56" s="43"/>
      <c r="Y56" s="43">
        <v>45.5</v>
      </c>
      <c r="Z56" s="43"/>
      <c r="AA56" s="43"/>
      <c r="AB56" s="43"/>
      <c r="AC56" s="43"/>
      <c r="AD56" s="43"/>
      <c r="AE56" s="43"/>
      <c r="AF56" s="43"/>
      <c r="AG56" s="43"/>
      <c r="AH56" s="43"/>
      <c r="AI56" s="43"/>
      <c r="AJ56" s="43"/>
      <c r="AK56" s="43"/>
      <c r="AL56" s="43"/>
      <c r="AM56" s="43"/>
      <c r="AN56" s="43"/>
      <c r="AO56" s="43"/>
      <c r="AP56" s="43"/>
      <c r="AQ56" s="43"/>
      <c r="AR56" s="53"/>
      <c r="AS56" s="52"/>
      <c r="AT56" s="43"/>
      <c r="AU56" s="43"/>
      <c r="AV56" s="43"/>
      <c r="AW56" s="43"/>
      <c r="AX56" s="43"/>
      <c r="AY56" s="43">
        <v>1.85</v>
      </c>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53"/>
      <c r="BX56" s="30">
        <f t="shared" si="0"/>
        <v>0</v>
      </c>
      <c r="BY56" s="52"/>
      <c r="BZ56" s="43"/>
      <c r="CA56" s="43">
        <v>45.5</v>
      </c>
      <c r="CB56" s="43"/>
      <c r="CC56" s="43"/>
      <c r="CD56" s="43"/>
      <c r="CE56" s="43"/>
      <c r="CF56" s="43"/>
      <c r="CG56" s="53"/>
      <c r="CH56" s="52"/>
      <c r="CI56" s="43"/>
      <c r="CJ56" s="43"/>
      <c r="CK56" s="43"/>
      <c r="CL56" s="43"/>
      <c r="CM56" s="43"/>
      <c r="CN56" s="43"/>
      <c r="CO56" s="43"/>
      <c r="CP56" s="43"/>
      <c r="CQ56" s="43"/>
      <c r="CR56" s="43"/>
      <c r="CS56" s="43"/>
      <c r="CT56" s="43"/>
      <c r="CU56" s="43"/>
      <c r="CV56" s="43"/>
      <c r="CW56" s="43"/>
      <c r="CX56" s="43"/>
      <c r="CY56" s="43"/>
      <c r="CZ56" s="7"/>
      <c r="DA56" s="7"/>
      <c r="DB56" s="43">
        <v>1.85</v>
      </c>
      <c r="DC56" s="43"/>
      <c r="DD56" s="53"/>
      <c r="DE56" s="73">
        <f t="shared" si="2"/>
        <v>0</v>
      </c>
      <c r="DG56" s="52"/>
      <c r="DH56" s="43"/>
      <c r="DI56" s="50">
        <f t="shared" si="3"/>
        <v>5878.3499999999995</v>
      </c>
      <c r="DK56" s="52">
        <v>45.5</v>
      </c>
      <c r="DL56" s="43">
        <v>1.85</v>
      </c>
      <c r="DM56" s="50">
        <f t="shared" si="4"/>
        <v>1851.7800000000002</v>
      </c>
      <c r="DO56" s="52"/>
      <c r="DP56" s="43"/>
      <c r="DQ56" s="50">
        <f t="shared" si="5"/>
        <v>7410.2999999999984</v>
      </c>
      <c r="DT56" s="52"/>
      <c r="DU56" s="43"/>
      <c r="DV56" s="50">
        <f t="shared" si="6"/>
        <v>361.19</v>
      </c>
      <c r="DX56" s="52"/>
      <c r="DY56" s="43"/>
      <c r="DZ56" s="53">
        <f t="shared" si="7"/>
        <v>-228.98</v>
      </c>
      <c r="EB56" s="52"/>
      <c r="EC56" s="43"/>
      <c r="ED56" s="53">
        <f t="shared" si="8"/>
        <v>0</v>
      </c>
      <c r="EF56" s="52"/>
      <c r="EG56" s="43"/>
      <c r="EH56" s="53">
        <f t="shared" si="9"/>
        <v>1225</v>
      </c>
      <c r="EJ56" s="65"/>
      <c r="EK56" s="7"/>
      <c r="EL56" s="53">
        <f t="shared" si="10"/>
        <v>100</v>
      </c>
      <c r="EN56" s="51">
        <f t="shared" si="11"/>
        <v>-5786.2699999999959</v>
      </c>
      <c r="EP56" s="60">
        <f t="shared" si="12"/>
        <v>0</v>
      </c>
      <c r="EQ56" s="61">
        <f t="shared" si="13"/>
        <v>0</v>
      </c>
      <c r="ER56" s="15">
        <f t="shared" si="14"/>
        <v>0</v>
      </c>
      <c r="ES56" s="163">
        <f t="shared" si="16"/>
        <v>0</v>
      </c>
      <c r="EU56">
        <v>45</v>
      </c>
    </row>
    <row r="57" spans="1:151" x14ac:dyDescent="0.45">
      <c r="A57" s="67">
        <v>45435</v>
      </c>
      <c r="B57" s="25" t="s">
        <v>757</v>
      </c>
      <c r="C57" s="10" t="s">
        <v>690</v>
      </c>
      <c r="D57" s="7"/>
      <c r="E57" s="43">
        <v>40</v>
      </c>
      <c r="F57" s="43">
        <f>2.02+0.8</f>
        <v>2.8200000000000003</v>
      </c>
      <c r="G57" s="16">
        <f t="shared" si="1"/>
        <v>10848.550000000003</v>
      </c>
      <c r="H57" s="64" t="s">
        <v>625</v>
      </c>
      <c r="I57" s="52"/>
      <c r="J57" s="43"/>
      <c r="K57" s="43"/>
      <c r="L57" s="43"/>
      <c r="M57" s="43"/>
      <c r="N57" s="43"/>
      <c r="O57" s="43"/>
      <c r="P57" s="43"/>
      <c r="Q57" s="43"/>
      <c r="R57" s="43"/>
      <c r="S57" s="43"/>
      <c r="T57" s="43"/>
      <c r="U57" s="43"/>
      <c r="V57" s="43"/>
      <c r="W57" s="43"/>
      <c r="X57" s="43"/>
      <c r="Y57" s="43"/>
      <c r="Z57" s="43">
        <v>40</v>
      </c>
      <c r="AA57" s="43"/>
      <c r="AB57" s="43"/>
      <c r="AC57" s="43"/>
      <c r="AD57" s="43"/>
      <c r="AE57" s="43"/>
      <c r="AF57" s="43"/>
      <c r="AG57" s="43"/>
      <c r="AH57" s="43"/>
      <c r="AI57" s="43"/>
      <c r="AJ57" s="43"/>
      <c r="AK57" s="43"/>
      <c r="AL57" s="43"/>
      <c r="AM57" s="43"/>
      <c r="AN57" s="43"/>
      <c r="AO57" s="43"/>
      <c r="AP57" s="43"/>
      <c r="AQ57" s="43"/>
      <c r="AR57" s="53"/>
      <c r="AS57" s="52"/>
      <c r="AT57" s="43"/>
      <c r="AU57" s="43"/>
      <c r="AV57" s="43"/>
      <c r="AW57" s="43"/>
      <c r="AX57" s="43"/>
      <c r="AY57" s="43"/>
      <c r="AZ57" s="43">
        <v>2.82</v>
      </c>
      <c r="BA57" s="43"/>
      <c r="BB57" s="43"/>
      <c r="BC57" s="43"/>
      <c r="BD57" s="43"/>
      <c r="BE57" s="43"/>
      <c r="BF57" s="43"/>
      <c r="BG57" s="43"/>
      <c r="BH57" s="43"/>
      <c r="BI57" s="43"/>
      <c r="BJ57" s="43"/>
      <c r="BK57" s="43"/>
      <c r="BL57" s="43"/>
      <c r="BM57" s="43"/>
      <c r="BN57" s="43"/>
      <c r="BO57" s="43"/>
      <c r="BP57" s="43"/>
      <c r="BQ57" s="43"/>
      <c r="BR57" s="43"/>
      <c r="BS57" s="43"/>
      <c r="BT57" s="43"/>
      <c r="BU57" s="43"/>
      <c r="BV57" s="43"/>
      <c r="BW57" s="53"/>
      <c r="BX57" s="30">
        <f t="shared" si="0"/>
        <v>0</v>
      </c>
      <c r="BY57" s="52"/>
      <c r="BZ57" s="43"/>
      <c r="CA57" s="43">
        <v>40</v>
      </c>
      <c r="CB57" s="43"/>
      <c r="CC57" s="43"/>
      <c r="CD57" s="43"/>
      <c r="CE57" s="43"/>
      <c r="CF57" s="43"/>
      <c r="CG57" s="53"/>
      <c r="CH57" s="52"/>
      <c r="CI57" s="43"/>
      <c r="CJ57" s="43"/>
      <c r="CK57" s="43"/>
      <c r="CL57" s="43"/>
      <c r="CM57" s="43"/>
      <c r="CN57" s="43"/>
      <c r="CO57" s="43"/>
      <c r="CP57" s="43"/>
      <c r="CQ57" s="43"/>
      <c r="CR57" s="43"/>
      <c r="CS57" s="43"/>
      <c r="CT57" s="43"/>
      <c r="CU57" s="43"/>
      <c r="CV57" s="43"/>
      <c r="CW57" s="43"/>
      <c r="CX57" s="43"/>
      <c r="CY57" s="43"/>
      <c r="CZ57" s="7"/>
      <c r="DA57" s="7"/>
      <c r="DB57" s="43">
        <v>2.82</v>
      </c>
      <c r="DC57" s="43"/>
      <c r="DD57" s="53"/>
      <c r="DE57" s="73">
        <f t="shared" si="2"/>
        <v>0</v>
      </c>
      <c r="DG57" s="52"/>
      <c r="DH57" s="43"/>
      <c r="DI57" s="50">
        <f t="shared" si="3"/>
        <v>5878.3499999999995</v>
      </c>
      <c r="DK57" s="52"/>
      <c r="DL57" s="43"/>
      <c r="DM57" s="50">
        <f t="shared" si="4"/>
        <v>1851.7800000000002</v>
      </c>
      <c r="DO57" s="52">
        <v>40</v>
      </c>
      <c r="DP57" s="43">
        <v>2.82</v>
      </c>
      <c r="DQ57" s="50">
        <f t="shared" si="5"/>
        <v>7447.4799999999987</v>
      </c>
      <c r="DT57" s="52"/>
      <c r="DU57" s="43"/>
      <c r="DV57" s="50">
        <f t="shared" si="6"/>
        <v>361.19</v>
      </c>
      <c r="DX57" s="52"/>
      <c r="DY57" s="43"/>
      <c r="DZ57" s="53">
        <f t="shared" si="7"/>
        <v>-228.98</v>
      </c>
      <c r="EB57" s="52"/>
      <c r="EC57" s="43"/>
      <c r="ED57" s="53">
        <f t="shared" si="8"/>
        <v>0</v>
      </c>
      <c r="EF57" s="52"/>
      <c r="EG57" s="43"/>
      <c r="EH57" s="53">
        <f t="shared" si="9"/>
        <v>1225</v>
      </c>
      <c r="EJ57" s="65"/>
      <c r="EK57" s="7"/>
      <c r="EL57" s="53">
        <f t="shared" si="10"/>
        <v>100</v>
      </c>
      <c r="EN57" s="51">
        <f t="shared" si="11"/>
        <v>-5786.2699999999959</v>
      </c>
      <c r="EP57" s="60">
        <f t="shared" si="12"/>
        <v>0</v>
      </c>
      <c r="EQ57" s="61">
        <f t="shared" si="13"/>
        <v>0</v>
      </c>
      <c r="ER57" s="15">
        <f t="shared" si="14"/>
        <v>0</v>
      </c>
      <c r="ES57" s="62">
        <f t="shared" si="16"/>
        <v>0</v>
      </c>
      <c r="EU57" s="6">
        <v>46</v>
      </c>
    </row>
    <row r="58" spans="1:151" x14ac:dyDescent="0.45">
      <c r="A58" s="67">
        <v>45435</v>
      </c>
      <c r="B58" s="25" t="s">
        <v>765</v>
      </c>
      <c r="C58" s="10" t="s">
        <v>761</v>
      </c>
      <c r="D58" s="7"/>
      <c r="E58" s="43">
        <v>45</v>
      </c>
      <c r="F58" s="43">
        <f>2.25+0.9</f>
        <v>3.15</v>
      </c>
      <c r="G58" s="16">
        <f t="shared" si="1"/>
        <v>10890.400000000003</v>
      </c>
      <c r="H58" s="64" t="s">
        <v>625</v>
      </c>
      <c r="I58" s="52"/>
      <c r="J58" s="43"/>
      <c r="K58" s="43"/>
      <c r="L58" s="43"/>
      <c r="M58" s="43"/>
      <c r="N58" s="43"/>
      <c r="O58" s="43"/>
      <c r="P58" s="43"/>
      <c r="Q58" s="43"/>
      <c r="R58" s="43"/>
      <c r="S58" s="43"/>
      <c r="T58" s="43"/>
      <c r="U58" s="43"/>
      <c r="V58" s="43"/>
      <c r="W58" s="43"/>
      <c r="X58" s="43"/>
      <c r="Y58" s="43"/>
      <c r="Z58" s="43">
        <v>45</v>
      </c>
      <c r="AA58" s="43"/>
      <c r="AB58" s="43"/>
      <c r="AC58" s="43"/>
      <c r="AD58" s="43"/>
      <c r="AE58" s="43"/>
      <c r="AF58" s="43"/>
      <c r="AG58" s="43"/>
      <c r="AH58" s="43"/>
      <c r="AI58" s="43"/>
      <c r="AJ58" s="43"/>
      <c r="AK58" s="43"/>
      <c r="AL58" s="43"/>
      <c r="AM58" s="43"/>
      <c r="AN58" s="43"/>
      <c r="AO58" s="43"/>
      <c r="AP58" s="43"/>
      <c r="AQ58" s="43"/>
      <c r="AR58" s="53"/>
      <c r="AS58" s="52"/>
      <c r="AT58" s="43"/>
      <c r="AU58" s="43"/>
      <c r="AV58" s="43"/>
      <c r="AW58" s="43"/>
      <c r="AX58" s="43"/>
      <c r="AY58" s="43"/>
      <c r="AZ58" s="43">
        <v>3.15</v>
      </c>
      <c r="BA58" s="43"/>
      <c r="BB58" s="43"/>
      <c r="BC58" s="43"/>
      <c r="BD58" s="43"/>
      <c r="BE58" s="43"/>
      <c r="BF58" s="43"/>
      <c r="BG58" s="43"/>
      <c r="BH58" s="43"/>
      <c r="BI58" s="43"/>
      <c r="BJ58" s="43"/>
      <c r="BK58" s="43"/>
      <c r="BL58" s="43"/>
      <c r="BM58" s="43"/>
      <c r="BN58" s="43"/>
      <c r="BO58" s="43"/>
      <c r="BP58" s="43"/>
      <c r="BQ58" s="43"/>
      <c r="BR58" s="43"/>
      <c r="BS58" s="43"/>
      <c r="BT58" s="43"/>
      <c r="BU58" s="43"/>
      <c r="BV58" s="43"/>
      <c r="BW58" s="53"/>
      <c r="BX58" s="30">
        <f t="shared" si="0"/>
        <v>0</v>
      </c>
      <c r="BY58" s="52"/>
      <c r="BZ58" s="43"/>
      <c r="CA58" s="43">
        <v>45</v>
      </c>
      <c r="CB58" s="43"/>
      <c r="CC58" s="43"/>
      <c r="CD58" s="43"/>
      <c r="CE58" s="43"/>
      <c r="CF58" s="43"/>
      <c r="CG58" s="53"/>
      <c r="CH58" s="52"/>
      <c r="CI58" s="43"/>
      <c r="CJ58" s="43"/>
      <c r="CK58" s="43"/>
      <c r="CL58" s="43"/>
      <c r="CM58" s="43"/>
      <c r="CN58" s="43"/>
      <c r="CO58" s="43"/>
      <c r="CP58" s="43"/>
      <c r="CQ58" s="43"/>
      <c r="CR58" s="43"/>
      <c r="CS58" s="43"/>
      <c r="CT58" s="43"/>
      <c r="CU58" s="43"/>
      <c r="CV58" s="43"/>
      <c r="CW58" s="43"/>
      <c r="CX58" s="43"/>
      <c r="CY58" s="43"/>
      <c r="CZ58" s="7"/>
      <c r="DA58" s="7"/>
      <c r="DB58" s="43">
        <v>3.15</v>
      </c>
      <c r="DC58" s="43"/>
      <c r="DD58" s="53"/>
      <c r="DE58" s="73">
        <f t="shared" si="2"/>
        <v>0</v>
      </c>
      <c r="DG58" s="52"/>
      <c r="DH58" s="43"/>
      <c r="DI58" s="50">
        <f t="shared" si="3"/>
        <v>5878.3499999999995</v>
      </c>
      <c r="DK58" s="52"/>
      <c r="DL58" s="43"/>
      <c r="DM58" s="50">
        <f t="shared" si="4"/>
        <v>1851.7800000000002</v>
      </c>
      <c r="DO58" s="52">
        <v>45</v>
      </c>
      <c r="DP58" s="43">
        <v>3.15</v>
      </c>
      <c r="DQ58" s="50">
        <f t="shared" si="5"/>
        <v>7489.329999999999</v>
      </c>
      <c r="DT58" s="52"/>
      <c r="DU58" s="43"/>
      <c r="DV58" s="50">
        <f t="shared" si="6"/>
        <v>361.19</v>
      </c>
      <c r="DX58" s="52"/>
      <c r="DY58" s="43"/>
      <c r="DZ58" s="53">
        <f t="shared" si="7"/>
        <v>-228.98</v>
      </c>
      <c r="EB58" s="52"/>
      <c r="EC58" s="43"/>
      <c r="ED58" s="53">
        <f t="shared" si="8"/>
        <v>0</v>
      </c>
      <c r="EF58" s="52"/>
      <c r="EG58" s="43"/>
      <c r="EH58" s="53">
        <f t="shared" si="9"/>
        <v>1225</v>
      </c>
      <c r="EJ58" s="65"/>
      <c r="EK58" s="7"/>
      <c r="EL58" s="53">
        <f t="shared" si="10"/>
        <v>100</v>
      </c>
      <c r="EN58" s="51">
        <f t="shared" si="11"/>
        <v>-5786.2699999999959</v>
      </c>
      <c r="EP58" s="60">
        <f t="shared" si="12"/>
        <v>0</v>
      </c>
      <c r="EQ58" s="61">
        <f t="shared" si="13"/>
        <v>0</v>
      </c>
      <c r="ER58" s="15">
        <f t="shared" si="14"/>
        <v>0</v>
      </c>
      <c r="ES58" s="163">
        <f t="shared" si="16"/>
        <v>0</v>
      </c>
      <c r="EU58">
        <v>47</v>
      </c>
    </row>
    <row r="59" spans="1:151" s="74" customFormat="1" x14ac:dyDescent="0.45">
      <c r="A59" s="67">
        <v>45436</v>
      </c>
      <c r="B59" s="25" t="s">
        <v>753</v>
      </c>
      <c r="C59" s="10" t="s">
        <v>709</v>
      </c>
      <c r="D59" s="7"/>
      <c r="E59" s="43">
        <v>578</v>
      </c>
      <c r="F59" s="43">
        <f>8.46+11.28</f>
        <v>19.740000000000002</v>
      </c>
      <c r="G59" s="16">
        <f t="shared" si="1"/>
        <v>11448.660000000003</v>
      </c>
      <c r="H59" s="64" t="s">
        <v>625</v>
      </c>
      <c r="I59" s="52"/>
      <c r="J59" s="43"/>
      <c r="K59" s="43"/>
      <c r="L59" s="43"/>
      <c r="M59" s="43"/>
      <c r="N59" s="43"/>
      <c r="O59" s="43"/>
      <c r="P59" s="43"/>
      <c r="Q59" s="43"/>
      <c r="R59" s="43"/>
      <c r="S59" s="43"/>
      <c r="T59" s="43"/>
      <c r="U59" s="43"/>
      <c r="V59" s="43"/>
      <c r="W59" s="43"/>
      <c r="X59" s="43"/>
      <c r="Y59" s="43">
        <v>578</v>
      </c>
      <c r="Z59" s="43"/>
      <c r="AA59" s="43"/>
      <c r="AB59" s="43"/>
      <c r="AC59" s="43"/>
      <c r="AD59" s="43"/>
      <c r="AE59" s="43"/>
      <c r="AF59" s="43"/>
      <c r="AG59" s="43"/>
      <c r="AH59" s="43"/>
      <c r="AI59" s="43"/>
      <c r="AJ59" s="43"/>
      <c r="AK59" s="43"/>
      <c r="AL59" s="43"/>
      <c r="AM59" s="43"/>
      <c r="AN59" s="43"/>
      <c r="AO59" s="43"/>
      <c r="AP59" s="43"/>
      <c r="AQ59" s="43"/>
      <c r="AR59" s="53"/>
      <c r="AS59" s="52"/>
      <c r="AT59" s="43"/>
      <c r="AU59" s="43"/>
      <c r="AV59" s="43"/>
      <c r="AW59" s="43"/>
      <c r="AX59" s="43"/>
      <c r="AY59" s="43">
        <v>19.739999999999998</v>
      </c>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53"/>
      <c r="BX59" s="30">
        <f t="shared" si="0"/>
        <v>0</v>
      </c>
      <c r="BY59" s="52"/>
      <c r="BZ59" s="43">
        <f>14*40</f>
        <v>560</v>
      </c>
      <c r="CA59" s="43">
        <v>18</v>
      </c>
      <c r="CB59" s="43"/>
      <c r="CC59" s="43"/>
      <c r="CD59" s="43"/>
      <c r="CE59" s="43"/>
      <c r="CF59" s="43"/>
      <c r="CG59" s="53"/>
      <c r="CH59" s="52"/>
      <c r="CI59" s="43"/>
      <c r="CJ59" s="43"/>
      <c r="CK59" s="43"/>
      <c r="CL59" s="43"/>
      <c r="CM59" s="43"/>
      <c r="CN59" s="43"/>
      <c r="CO59" s="43"/>
      <c r="CP59" s="43"/>
      <c r="CQ59" s="43"/>
      <c r="CR59" s="43"/>
      <c r="CS59" s="43"/>
      <c r="CT59" s="43"/>
      <c r="CU59" s="43"/>
      <c r="CV59" s="43"/>
      <c r="CW59" s="43"/>
      <c r="CX59" s="43"/>
      <c r="CY59" s="43"/>
      <c r="CZ59" s="7"/>
      <c r="DA59" s="7"/>
      <c r="DB59" s="43">
        <v>19.739999999999998</v>
      </c>
      <c r="DC59" s="43"/>
      <c r="DD59" s="53"/>
      <c r="DE59" s="73">
        <f t="shared" si="2"/>
        <v>0</v>
      </c>
      <c r="DF59" s="15"/>
      <c r="DG59" s="52"/>
      <c r="DH59" s="43"/>
      <c r="DI59" s="50">
        <f t="shared" si="3"/>
        <v>5878.3499999999995</v>
      </c>
      <c r="DJ59" s="15"/>
      <c r="DK59" s="52">
        <v>578</v>
      </c>
      <c r="DL59" s="43">
        <v>19.739999999999998</v>
      </c>
      <c r="DM59" s="50">
        <f t="shared" si="4"/>
        <v>2410.0400000000004</v>
      </c>
      <c r="DN59" s="15"/>
      <c r="DO59" s="52"/>
      <c r="DP59" s="43"/>
      <c r="DQ59" s="50">
        <f t="shared" si="5"/>
        <v>7489.329999999999</v>
      </c>
      <c r="DR59" s="15"/>
      <c r="DS59" s="15"/>
      <c r="DT59" s="52"/>
      <c r="DU59" s="43"/>
      <c r="DV59" s="50">
        <f t="shared" si="6"/>
        <v>361.19</v>
      </c>
      <c r="DW59" s="15"/>
      <c r="DX59" s="52"/>
      <c r="DY59" s="43"/>
      <c r="DZ59" s="53">
        <f t="shared" si="7"/>
        <v>-228.98</v>
      </c>
      <c r="EA59" s="15"/>
      <c r="EB59" s="52"/>
      <c r="EC59" s="43"/>
      <c r="ED59" s="53">
        <f t="shared" si="8"/>
        <v>0</v>
      </c>
      <c r="EE59" s="15"/>
      <c r="EF59" s="52"/>
      <c r="EG59" s="43"/>
      <c r="EH59" s="53">
        <f t="shared" si="9"/>
        <v>1225</v>
      </c>
      <c r="EI59"/>
      <c r="EJ59" s="65"/>
      <c r="EK59" s="7"/>
      <c r="EL59" s="53">
        <f t="shared" si="10"/>
        <v>100</v>
      </c>
      <c r="EM59"/>
      <c r="EN59" s="51">
        <f t="shared" si="11"/>
        <v>-5786.2699999999959</v>
      </c>
      <c r="EO59"/>
      <c r="EP59" s="60">
        <f t="shared" si="12"/>
        <v>0</v>
      </c>
      <c r="EQ59" s="61">
        <f t="shared" si="13"/>
        <v>0</v>
      </c>
      <c r="ER59" s="15">
        <f t="shared" si="14"/>
        <v>0</v>
      </c>
      <c r="ES59" s="62">
        <f t="shared" si="16"/>
        <v>0</v>
      </c>
      <c r="ET59" t="s">
        <v>1004</v>
      </c>
      <c r="EU59" s="6">
        <v>48</v>
      </c>
    </row>
    <row r="60" spans="1:151" x14ac:dyDescent="0.45">
      <c r="A60" s="67">
        <v>45436</v>
      </c>
      <c r="B60" s="25" t="s">
        <v>765</v>
      </c>
      <c r="C60" s="10" t="s">
        <v>762</v>
      </c>
      <c r="D60" s="7"/>
      <c r="E60" s="43">
        <v>9</v>
      </c>
      <c r="F60" s="43">
        <f>0.45+0.18</f>
        <v>0.63</v>
      </c>
      <c r="G60" s="16">
        <f t="shared" si="1"/>
        <v>11457.030000000004</v>
      </c>
      <c r="H60" s="64" t="s">
        <v>625</v>
      </c>
      <c r="I60" s="52"/>
      <c r="J60" s="43"/>
      <c r="K60" s="43"/>
      <c r="L60" s="43"/>
      <c r="M60" s="43"/>
      <c r="N60" s="43"/>
      <c r="O60" s="43"/>
      <c r="P60" s="43"/>
      <c r="Q60" s="43"/>
      <c r="R60" s="43"/>
      <c r="S60" s="43"/>
      <c r="T60" s="43"/>
      <c r="U60" s="43"/>
      <c r="V60" s="43"/>
      <c r="W60" s="43"/>
      <c r="X60" s="43"/>
      <c r="Y60" s="43"/>
      <c r="Z60" s="43">
        <v>9</v>
      </c>
      <c r="AA60" s="43"/>
      <c r="AB60" s="43"/>
      <c r="AC60" s="43"/>
      <c r="AD60" s="43"/>
      <c r="AE60" s="43"/>
      <c r="AF60" s="43"/>
      <c r="AG60" s="43"/>
      <c r="AH60" s="43"/>
      <c r="AI60" s="43"/>
      <c r="AJ60" s="43"/>
      <c r="AK60" s="43"/>
      <c r="AL60" s="43"/>
      <c r="AM60" s="43"/>
      <c r="AN60" s="43"/>
      <c r="AO60" s="43"/>
      <c r="AP60" s="43"/>
      <c r="AQ60" s="43"/>
      <c r="AR60" s="53"/>
      <c r="AS60" s="52"/>
      <c r="AT60" s="43"/>
      <c r="AU60" s="43"/>
      <c r="AV60" s="43"/>
      <c r="AW60" s="43"/>
      <c r="AX60" s="43"/>
      <c r="AY60" s="43"/>
      <c r="AZ60" s="43">
        <v>0.63</v>
      </c>
      <c r="BA60" s="43"/>
      <c r="BB60" s="43"/>
      <c r="BC60" s="43"/>
      <c r="BD60" s="43"/>
      <c r="BE60" s="43"/>
      <c r="BF60" s="43"/>
      <c r="BG60" s="43"/>
      <c r="BH60" s="43"/>
      <c r="BI60" s="43"/>
      <c r="BJ60" s="43"/>
      <c r="BK60" s="43"/>
      <c r="BL60" s="43"/>
      <c r="BM60" s="43"/>
      <c r="BN60" s="43"/>
      <c r="BO60" s="43"/>
      <c r="BP60" s="43"/>
      <c r="BQ60" s="43"/>
      <c r="BR60" s="43"/>
      <c r="BS60" s="43"/>
      <c r="BT60" s="43"/>
      <c r="BU60" s="43"/>
      <c r="BV60" s="43"/>
      <c r="BW60" s="53"/>
      <c r="BX60" s="30">
        <f t="shared" si="0"/>
        <v>0</v>
      </c>
      <c r="BY60" s="52"/>
      <c r="BZ60" s="43"/>
      <c r="CA60" s="43">
        <v>9</v>
      </c>
      <c r="CB60" s="43"/>
      <c r="CC60" s="43"/>
      <c r="CD60" s="43"/>
      <c r="CE60" s="43"/>
      <c r="CF60" s="43"/>
      <c r="CG60" s="53"/>
      <c r="CH60" s="52"/>
      <c r="CI60" s="43"/>
      <c r="CJ60" s="43"/>
      <c r="CK60" s="43"/>
      <c r="CL60" s="43"/>
      <c r="CM60" s="43"/>
      <c r="CN60" s="43"/>
      <c r="CO60" s="43"/>
      <c r="CP60" s="43"/>
      <c r="CQ60" s="43"/>
      <c r="CR60" s="43"/>
      <c r="CS60" s="43"/>
      <c r="CT60" s="43"/>
      <c r="CU60" s="43"/>
      <c r="CV60" s="43"/>
      <c r="CW60" s="43"/>
      <c r="CX60" s="43"/>
      <c r="CY60" s="43"/>
      <c r="CZ60" s="7"/>
      <c r="DA60" s="7"/>
      <c r="DB60" s="43">
        <v>0.63</v>
      </c>
      <c r="DC60" s="43"/>
      <c r="DD60" s="53"/>
      <c r="DE60" s="73">
        <f t="shared" si="2"/>
        <v>0</v>
      </c>
      <c r="DG60" s="52"/>
      <c r="DH60" s="43"/>
      <c r="DI60" s="50">
        <f t="shared" si="3"/>
        <v>5878.3499999999995</v>
      </c>
      <c r="DK60" s="52"/>
      <c r="DL60" s="43"/>
      <c r="DM60" s="50">
        <f t="shared" si="4"/>
        <v>2410.0400000000004</v>
      </c>
      <c r="DO60" s="52">
        <v>9</v>
      </c>
      <c r="DP60" s="43">
        <v>0.63</v>
      </c>
      <c r="DQ60" s="50">
        <f t="shared" si="5"/>
        <v>7497.6999999999989</v>
      </c>
      <c r="DT60" s="52"/>
      <c r="DU60" s="43"/>
      <c r="DV60" s="50">
        <f t="shared" si="6"/>
        <v>361.19</v>
      </c>
      <c r="DX60" s="52"/>
      <c r="DY60" s="43"/>
      <c r="DZ60" s="53">
        <f t="shared" si="7"/>
        <v>-228.98</v>
      </c>
      <c r="EB60" s="52"/>
      <c r="EC60" s="43"/>
      <c r="ED60" s="53">
        <f t="shared" si="8"/>
        <v>0</v>
      </c>
      <c r="EF60" s="52"/>
      <c r="EG60" s="43"/>
      <c r="EH60" s="53">
        <f t="shared" si="9"/>
        <v>1225</v>
      </c>
      <c r="EJ60" s="65"/>
      <c r="EK60" s="7"/>
      <c r="EL60" s="53">
        <f t="shared" si="10"/>
        <v>100</v>
      </c>
      <c r="EN60" s="51">
        <f t="shared" si="11"/>
        <v>-5786.2699999999941</v>
      </c>
      <c r="EP60" s="60">
        <f t="shared" si="12"/>
        <v>0</v>
      </c>
      <c r="EQ60" s="61">
        <f t="shared" si="13"/>
        <v>0</v>
      </c>
      <c r="ER60" s="15">
        <f t="shared" si="14"/>
        <v>0</v>
      </c>
      <c r="ES60" s="163">
        <f t="shared" si="16"/>
        <v>0</v>
      </c>
      <c r="EU60">
        <v>49</v>
      </c>
    </row>
    <row r="61" spans="1:151" x14ac:dyDescent="0.45">
      <c r="A61" s="67">
        <v>45440</v>
      </c>
      <c r="B61" s="25" t="s">
        <v>748</v>
      </c>
      <c r="C61" s="10" t="s">
        <v>710</v>
      </c>
      <c r="D61" s="7"/>
      <c r="E61" s="43">
        <v>40</v>
      </c>
      <c r="F61" s="43">
        <v>1.32</v>
      </c>
      <c r="G61" s="16">
        <f t="shared" si="1"/>
        <v>11495.710000000005</v>
      </c>
      <c r="H61" s="64" t="s">
        <v>625</v>
      </c>
      <c r="I61" s="52"/>
      <c r="J61" s="43"/>
      <c r="K61" s="43"/>
      <c r="L61" s="43"/>
      <c r="M61" s="43"/>
      <c r="N61" s="43"/>
      <c r="O61" s="43"/>
      <c r="P61" s="43"/>
      <c r="Q61" s="43"/>
      <c r="R61" s="43"/>
      <c r="S61" s="43"/>
      <c r="T61" s="43"/>
      <c r="U61" s="43"/>
      <c r="V61" s="43"/>
      <c r="W61" s="43"/>
      <c r="X61" s="43"/>
      <c r="Y61" s="43">
        <v>40</v>
      </c>
      <c r="Z61" s="43"/>
      <c r="AA61" s="43"/>
      <c r="AB61" s="43"/>
      <c r="AC61" s="43"/>
      <c r="AD61" s="43"/>
      <c r="AE61" s="43"/>
      <c r="AF61" s="43"/>
      <c r="AG61" s="43"/>
      <c r="AH61" s="43"/>
      <c r="AI61" s="43"/>
      <c r="AJ61" s="43"/>
      <c r="AK61" s="43"/>
      <c r="AL61" s="43"/>
      <c r="AM61" s="43"/>
      <c r="AN61" s="43"/>
      <c r="AO61" s="43"/>
      <c r="AP61" s="43"/>
      <c r="AQ61" s="43"/>
      <c r="AR61" s="53"/>
      <c r="AS61" s="52"/>
      <c r="AT61" s="43"/>
      <c r="AU61" s="43"/>
      <c r="AV61" s="43"/>
      <c r="AW61" s="43"/>
      <c r="AX61" s="43"/>
      <c r="AY61" s="43">
        <v>1.32</v>
      </c>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53"/>
      <c r="BX61" s="30">
        <f t="shared" si="0"/>
        <v>0</v>
      </c>
      <c r="BY61" s="52"/>
      <c r="BZ61" s="43">
        <v>40</v>
      </c>
      <c r="CA61" s="43"/>
      <c r="CB61" s="43"/>
      <c r="CC61" s="43"/>
      <c r="CD61" s="43"/>
      <c r="CE61" s="43"/>
      <c r="CF61" s="43"/>
      <c r="CG61" s="53"/>
      <c r="CH61" s="52"/>
      <c r="CI61" s="43"/>
      <c r="CJ61" s="43"/>
      <c r="CK61" s="43"/>
      <c r="CL61" s="43"/>
      <c r="CM61" s="43"/>
      <c r="CN61" s="43"/>
      <c r="CO61" s="43"/>
      <c r="CP61" s="43"/>
      <c r="CQ61" s="43"/>
      <c r="CR61" s="43"/>
      <c r="CS61" s="43"/>
      <c r="CT61" s="43"/>
      <c r="CU61" s="43"/>
      <c r="CV61" s="43"/>
      <c r="CW61" s="43"/>
      <c r="CX61" s="43"/>
      <c r="CY61" s="43"/>
      <c r="CZ61" s="7"/>
      <c r="DA61" s="7"/>
      <c r="DB61" s="43">
        <v>1.32</v>
      </c>
      <c r="DC61" s="43"/>
      <c r="DD61" s="53"/>
      <c r="DE61" s="73">
        <f t="shared" si="2"/>
        <v>0</v>
      </c>
      <c r="DG61" s="52"/>
      <c r="DH61" s="43"/>
      <c r="DI61" s="50">
        <f t="shared" si="3"/>
        <v>5878.3499999999995</v>
      </c>
      <c r="DK61" s="52">
        <v>40</v>
      </c>
      <c r="DL61" s="43">
        <v>1.32</v>
      </c>
      <c r="DM61" s="50">
        <f t="shared" si="4"/>
        <v>2448.7200000000003</v>
      </c>
      <c r="DO61" s="52"/>
      <c r="DP61" s="43"/>
      <c r="DQ61" s="50">
        <f t="shared" si="5"/>
        <v>7497.6999999999989</v>
      </c>
      <c r="DT61" s="52"/>
      <c r="DU61" s="43"/>
      <c r="DV61" s="50">
        <f t="shared" si="6"/>
        <v>361.19</v>
      </c>
      <c r="DX61" s="52"/>
      <c r="DY61" s="43"/>
      <c r="DZ61" s="53">
        <f t="shared" si="7"/>
        <v>-228.98</v>
      </c>
      <c r="EB61" s="52"/>
      <c r="EC61" s="43"/>
      <c r="ED61" s="53">
        <f t="shared" si="8"/>
        <v>0</v>
      </c>
      <c r="EF61" s="52"/>
      <c r="EG61" s="43"/>
      <c r="EH61" s="53">
        <f t="shared" si="9"/>
        <v>1225</v>
      </c>
      <c r="EJ61" s="65"/>
      <c r="EK61" s="7"/>
      <c r="EL61" s="53">
        <f t="shared" si="10"/>
        <v>100</v>
      </c>
      <c r="EN61" s="51">
        <f t="shared" si="11"/>
        <v>-5786.2699999999941</v>
      </c>
      <c r="EP61" s="60">
        <f t="shared" si="12"/>
        <v>0</v>
      </c>
      <c r="EQ61" s="61">
        <f t="shared" si="13"/>
        <v>0</v>
      </c>
      <c r="ER61" s="15">
        <f t="shared" si="14"/>
        <v>0</v>
      </c>
      <c r="ES61" s="62">
        <f t="shared" si="16"/>
        <v>0</v>
      </c>
      <c r="EU61" s="6">
        <v>50</v>
      </c>
    </row>
    <row r="62" spans="1:151" x14ac:dyDescent="0.45">
      <c r="A62" s="67">
        <v>45441</v>
      </c>
      <c r="B62" s="25" t="s">
        <v>748</v>
      </c>
      <c r="C62" s="10" t="s">
        <v>711</v>
      </c>
      <c r="D62" s="7"/>
      <c r="E62" s="43">
        <v>40</v>
      </c>
      <c r="F62" s="43">
        <v>1.32</v>
      </c>
      <c r="G62" s="16">
        <f t="shared" si="1"/>
        <v>11534.390000000005</v>
      </c>
      <c r="H62" s="64" t="s">
        <v>625</v>
      </c>
      <c r="I62" s="52"/>
      <c r="J62" s="43"/>
      <c r="K62" s="43"/>
      <c r="L62" s="43"/>
      <c r="M62" s="43"/>
      <c r="N62" s="43"/>
      <c r="O62" s="43"/>
      <c r="P62" s="43"/>
      <c r="Q62" s="43"/>
      <c r="R62" s="43"/>
      <c r="S62" s="43"/>
      <c r="T62" s="43"/>
      <c r="U62" s="43"/>
      <c r="V62" s="43"/>
      <c r="W62" s="43"/>
      <c r="X62" s="43"/>
      <c r="Y62" s="43">
        <v>40</v>
      </c>
      <c r="Z62" s="43"/>
      <c r="AA62" s="43"/>
      <c r="AB62" s="43"/>
      <c r="AC62" s="43"/>
      <c r="AD62" s="43"/>
      <c r="AE62" s="43"/>
      <c r="AF62" s="43"/>
      <c r="AG62" s="43"/>
      <c r="AH62" s="43"/>
      <c r="AI62" s="43"/>
      <c r="AJ62" s="43"/>
      <c r="AK62" s="43"/>
      <c r="AL62" s="43"/>
      <c r="AM62" s="43"/>
      <c r="AN62" s="43"/>
      <c r="AO62" s="43"/>
      <c r="AP62" s="43"/>
      <c r="AQ62" s="43"/>
      <c r="AR62" s="53"/>
      <c r="AS62" s="52"/>
      <c r="AT62" s="43"/>
      <c r="AU62" s="43"/>
      <c r="AV62" s="43"/>
      <c r="AW62" s="43"/>
      <c r="AX62" s="43"/>
      <c r="AY62" s="43">
        <v>1.32</v>
      </c>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53"/>
      <c r="BX62" s="30">
        <f t="shared" si="0"/>
        <v>0</v>
      </c>
      <c r="BY62" s="52"/>
      <c r="BZ62" s="43">
        <v>40</v>
      </c>
      <c r="CA62" s="43"/>
      <c r="CB62" s="77"/>
      <c r="CC62" s="43"/>
      <c r="CD62" s="64"/>
      <c r="CE62" s="43"/>
      <c r="CF62" s="43"/>
      <c r="CG62" s="43"/>
      <c r="CH62" s="52"/>
      <c r="CI62" s="43"/>
      <c r="CJ62" s="43"/>
      <c r="CK62" s="77"/>
      <c r="CL62" s="43"/>
      <c r="CM62" s="64"/>
      <c r="CN62" s="64"/>
      <c r="CO62" s="43"/>
      <c r="CP62" s="43"/>
      <c r="CQ62" s="64"/>
      <c r="CR62" s="43"/>
      <c r="CS62" s="43"/>
      <c r="CT62" s="64"/>
      <c r="CU62" s="43"/>
      <c r="CV62" s="43"/>
      <c r="CW62" s="43"/>
      <c r="CX62" s="43"/>
      <c r="CY62" s="77"/>
      <c r="CZ62" s="7"/>
      <c r="DA62" s="7"/>
      <c r="DB62" s="77">
        <v>1.32</v>
      </c>
      <c r="DC62" s="43"/>
      <c r="DD62" s="64"/>
      <c r="DE62" s="73">
        <f t="shared" si="2"/>
        <v>0</v>
      </c>
      <c r="DG62" s="52"/>
      <c r="DH62" s="43"/>
      <c r="DI62" s="50">
        <f t="shared" si="3"/>
        <v>5878.3499999999995</v>
      </c>
      <c r="DK62" s="52">
        <v>40</v>
      </c>
      <c r="DL62" s="43">
        <v>1.32</v>
      </c>
      <c r="DM62" s="50">
        <f t="shared" si="4"/>
        <v>2487.4</v>
      </c>
      <c r="DO62" s="52"/>
      <c r="DP62" s="43"/>
      <c r="DQ62" s="50">
        <f t="shared" si="5"/>
        <v>7497.6999999999989</v>
      </c>
      <c r="DT62" s="52"/>
      <c r="DU62" s="43"/>
      <c r="DV62" s="50">
        <f t="shared" si="6"/>
        <v>361.19</v>
      </c>
      <c r="DX62" s="52"/>
      <c r="DY62" s="43"/>
      <c r="DZ62" s="53">
        <f t="shared" si="7"/>
        <v>-228.98</v>
      </c>
      <c r="EB62" s="52"/>
      <c r="EC62" s="43"/>
      <c r="ED62" s="53">
        <f t="shared" si="8"/>
        <v>0</v>
      </c>
      <c r="EF62" s="52"/>
      <c r="EG62" s="43"/>
      <c r="EH62" s="53">
        <f t="shared" si="9"/>
        <v>1225</v>
      </c>
      <c r="EJ62" s="65"/>
      <c r="EK62" s="7"/>
      <c r="EL62" s="53">
        <f t="shared" si="10"/>
        <v>100</v>
      </c>
      <c r="EN62" s="51">
        <f t="shared" si="11"/>
        <v>-5786.2699999999941</v>
      </c>
      <c r="EP62" s="60">
        <f t="shared" si="12"/>
        <v>0</v>
      </c>
      <c r="EQ62" s="61">
        <f t="shared" si="13"/>
        <v>0</v>
      </c>
      <c r="ER62" s="15">
        <f t="shared" si="14"/>
        <v>0</v>
      </c>
      <c r="ES62" s="163">
        <f t="shared" si="16"/>
        <v>0</v>
      </c>
      <c r="EU62">
        <v>51</v>
      </c>
    </row>
    <row r="63" spans="1:151" x14ac:dyDescent="0.45">
      <c r="A63" s="67">
        <v>45442</v>
      </c>
      <c r="B63" s="25" t="s">
        <v>752</v>
      </c>
      <c r="C63" s="10" t="s">
        <v>827</v>
      </c>
      <c r="D63" s="7"/>
      <c r="E63" s="43">
        <v>112</v>
      </c>
      <c r="F63" s="43">
        <f>5.62+2.24</f>
        <v>7.86</v>
      </c>
      <c r="G63" s="16">
        <f t="shared" si="1"/>
        <v>11638.530000000004</v>
      </c>
      <c r="H63" s="64" t="s">
        <v>625</v>
      </c>
      <c r="I63" s="52"/>
      <c r="J63" s="43"/>
      <c r="K63" s="43"/>
      <c r="L63" s="43"/>
      <c r="M63" s="43"/>
      <c r="N63" s="43"/>
      <c r="O63" s="43"/>
      <c r="P63" s="43"/>
      <c r="Q63" s="43"/>
      <c r="R63" s="43"/>
      <c r="S63" s="43"/>
      <c r="T63" s="43"/>
      <c r="U63" s="43"/>
      <c r="V63" s="43"/>
      <c r="W63" s="43"/>
      <c r="X63" s="43">
        <v>112</v>
      </c>
      <c r="Y63" s="43"/>
      <c r="Z63" s="43"/>
      <c r="AA63" s="43"/>
      <c r="AB63" s="43"/>
      <c r="AC63" s="43"/>
      <c r="AD63" s="43"/>
      <c r="AE63" s="43"/>
      <c r="AF63" s="43"/>
      <c r="AG63" s="43"/>
      <c r="AH63" s="43"/>
      <c r="AI63" s="43"/>
      <c r="AJ63" s="43"/>
      <c r="AK63" s="43"/>
      <c r="AL63" s="43"/>
      <c r="AM63" s="43"/>
      <c r="AN63" s="43"/>
      <c r="AO63" s="43"/>
      <c r="AP63" s="43"/>
      <c r="AQ63" s="43"/>
      <c r="AR63" s="53"/>
      <c r="AS63" s="52"/>
      <c r="AT63" s="43"/>
      <c r="AU63" s="43"/>
      <c r="AV63" s="43"/>
      <c r="AW63" s="43"/>
      <c r="AX63" s="43">
        <v>7.86</v>
      </c>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53"/>
      <c r="BX63" s="30">
        <f t="shared" si="0"/>
        <v>0</v>
      </c>
      <c r="BY63" s="52"/>
      <c r="BZ63" s="43"/>
      <c r="CA63" s="43">
        <v>112</v>
      </c>
      <c r="CB63" s="43"/>
      <c r="CC63" s="43"/>
      <c r="CD63" s="43"/>
      <c r="CE63" s="43"/>
      <c r="CF63" s="43"/>
      <c r="CG63" s="53"/>
      <c r="CH63" s="52"/>
      <c r="CI63" s="43"/>
      <c r="CJ63" s="43"/>
      <c r="CK63" s="43"/>
      <c r="CL63" s="43"/>
      <c r="CM63" s="43"/>
      <c r="CN63" s="43"/>
      <c r="CO63" s="43"/>
      <c r="CP63" s="43"/>
      <c r="CQ63" s="43"/>
      <c r="CR63" s="43"/>
      <c r="CS63" s="43"/>
      <c r="CT63" s="43"/>
      <c r="CU63" s="43"/>
      <c r="CV63" s="43"/>
      <c r="CW63" s="43"/>
      <c r="CX63" s="43"/>
      <c r="CY63" s="43"/>
      <c r="CZ63" s="7"/>
      <c r="DA63" s="7"/>
      <c r="DB63" s="43">
        <v>7.86</v>
      </c>
      <c r="DC63" s="43"/>
      <c r="DD63" s="53"/>
      <c r="DE63" s="73">
        <f t="shared" si="2"/>
        <v>0</v>
      </c>
      <c r="DG63" s="52">
        <v>112</v>
      </c>
      <c r="DH63" s="43">
        <v>7.86</v>
      </c>
      <c r="DI63" s="50">
        <f t="shared" si="3"/>
        <v>5982.49</v>
      </c>
      <c r="DK63" s="52"/>
      <c r="DL63" s="43"/>
      <c r="DM63" s="50">
        <f t="shared" si="4"/>
        <v>2487.4</v>
      </c>
      <c r="DO63" s="52"/>
      <c r="DP63" s="43"/>
      <c r="DQ63" s="50">
        <f t="shared" si="5"/>
        <v>7497.6999999999989</v>
      </c>
      <c r="DT63" s="52"/>
      <c r="DU63" s="43"/>
      <c r="DV63" s="50">
        <f t="shared" si="6"/>
        <v>361.19</v>
      </c>
      <c r="DX63" s="52"/>
      <c r="DY63" s="43"/>
      <c r="DZ63" s="53">
        <f t="shared" si="7"/>
        <v>-228.98</v>
      </c>
      <c r="EB63" s="52"/>
      <c r="EC63" s="43"/>
      <c r="ED63" s="53">
        <f t="shared" si="8"/>
        <v>0</v>
      </c>
      <c r="EF63" s="52"/>
      <c r="EG63" s="43"/>
      <c r="EH63" s="53">
        <f t="shared" si="9"/>
        <v>1225</v>
      </c>
      <c r="EJ63" s="65"/>
      <c r="EK63" s="7"/>
      <c r="EL63" s="53">
        <f t="shared" si="10"/>
        <v>100</v>
      </c>
      <c r="EN63" s="51">
        <f t="shared" si="11"/>
        <v>-5786.2699999999941</v>
      </c>
      <c r="EP63" s="60">
        <f t="shared" si="12"/>
        <v>0</v>
      </c>
      <c r="EQ63" s="61">
        <f t="shared" si="13"/>
        <v>0</v>
      </c>
      <c r="ER63" s="15">
        <f t="shared" si="14"/>
        <v>0</v>
      </c>
      <c r="ES63" s="62">
        <f t="shared" si="16"/>
        <v>0</v>
      </c>
      <c r="EU63" s="6">
        <v>52</v>
      </c>
    </row>
    <row r="64" spans="1:151" x14ac:dyDescent="0.45">
      <c r="A64" s="67">
        <v>45442</v>
      </c>
      <c r="B64" s="70" t="s">
        <v>767</v>
      </c>
      <c r="C64" s="10" t="s">
        <v>766</v>
      </c>
      <c r="D64" s="7"/>
      <c r="E64" s="43">
        <v>4</v>
      </c>
      <c r="F64" s="43">
        <f>0.22+0.08</f>
        <v>0.3</v>
      </c>
      <c r="G64" s="16">
        <f t="shared" si="1"/>
        <v>11642.230000000005</v>
      </c>
      <c r="H64" s="64" t="s">
        <v>625</v>
      </c>
      <c r="I64" s="52"/>
      <c r="J64" s="43"/>
      <c r="K64" s="43"/>
      <c r="L64" s="43"/>
      <c r="M64" s="43"/>
      <c r="N64" s="43"/>
      <c r="O64" s="43"/>
      <c r="P64" s="43"/>
      <c r="Q64" s="43"/>
      <c r="R64" s="43"/>
      <c r="S64" s="43"/>
      <c r="T64" s="43"/>
      <c r="U64" s="43"/>
      <c r="V64" s="43"/>
      <c r="W64" s="43"/>
      <c r="X64" s="43"/>
      <c r="Y64" s="43">
        <v>4</v>
      </c>
      <c r="Z64" s="43"/>
      <c r="AA64" s="43"/>
      <c r="AB64" s="43"/>
      <c r="AC64" s="43"/>
      <c r="AD64" s="43"/>
      <c r="AE64" s="43"/>
      <c r="AF64" s="43"/>
      <c r="AG64" s="43"/>
      <c r="AH64" s="43"/>
      <c r="AI64" s="43"/>
      <c r="AJ64" s="43"/>
      <c r="AK64" s="43"/>
      <c r="AL64" s="43"/>
      <c r="AM64" s="43"/>
      <c r="AN64" s="43"/>
      <c r="AO64" s="43"/>
      <c r="AP64" s="43"/>
      <c r="AQ64" s="43"/>
      <c r="AR64" s="53"/>
      <c r="AS64" s="52"/>
      <c r="AT64" s="43"/>
      <c r="AU64" s="43"/>
      <c r="AV64" s="43"/>
      <c r="AW64" s="43"/>
      <c r="AX64" s="43"/>
      <c r="AY64" s="43">
        <v>0.3</v>
      </c>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53"/>
      <c r="BX64" s="30">
        <f t="shared" si="0"/>
        <v>0</v>
      </c>
      <c r="BY64" s="52"/>
      <c r="BZ64" s="43"/>
      <c r="CA64" s="43">
        <v>4</v>
      </c>
      <c r="CB64" s="43"/>
      <c r="CC64" s="43"/>
      <c r="CD64" s="43"/>
      <c r="CE64" s="43"/>
      <c r="CF64" s="43"/>
      <c r="CG64" s="53"/>
      <c r="CH64" s="52"/>
      <c r="CI64" s="43"/>
      <c r="CJ64" s="43"/>
      <c r="CK64" s="43"/>
      <c r="CL64" s="43"/>
      <c r="CM64" s="43"/>
      <c r="CN64" s="43"/>
      <c r="CO64" s="43"/>
      <c r="CP64" s="43"/>
      <c r="CQ64" s="43"/>
      <c r="CR64" s="43"/>
      <c r="CS64" s="43"/>
      <c r="CT64" s="43"/>
      <c r="CU64" s="43"/>
      <c r="CV64" s="43"/>
      <c r="CW64" s="43"/>
      <c r="CX64" s="43"/>
      <c r="CY64" s="43"/>
      <c r="CZ64" s="7"/>
      <c r="DA64" s="7"/>
      <c r="DB64" s="43">
        <v>0.3</v>
      </c>
      <c r="DC64" s="43"/>
      <c r="DD64" s="53"/>
      <c r="DE64" s="73">
        <f t="shared" si="2"/>
        <v>0</v>
      </c>
      <c r="DG64" s="52"/>
      <c r="DH64" s="43"/>
      <c r="DI64" s="50">
        <f t="shared" si="3"/>
        <v>5982.49</v>
      </c>
      <c r="DK64" s="52">
        <v>4</v>
      </c>
      <c r="DL64" s="43">
        <v>0.3</v>
      </c>
      <c r="DM64" s="50">
        <f t="shared" si="4"/>
        <v>2491.1</v>
      </c>
      <c r="DO64" s="52"/>
      <c r="DP64" s="43"/>
      <c r="DQ64" s="50">
        <f t="shared" si="5"/>
        <v>7497.6999999999989</v>
      </c>
      <c r="DT64" s="52"/>
      <c r="DU64" s="43"/>
      <c r="DV64" s="50">
        <f t="shared" si="6"/>
        <v>361.19</v>
      </c>
      <c r="DX64" s="52"/>
      <c r="DY64" s="43"/>
      <c r="DZ64" s="53">
        <f t="shared" si="7"/>
        <v>-228.98</v>
      </c>
      <c r="EB64" s="52"/>
      <c r="EC64" s="43"/>
      <c r="ED64" s="53">
        <f t="shared" si="8"/>
        <v>0</v>
      </c>
      <c r="EF64" s="52"/>
      <c r="EG64" s="43"/>
      <c r="EH64" s="53">
        <f t="shared" si="9"/>
        <v>1225</v>
      </c>
      <c r="EJ64" s="65"/>
      <c r="EK64" s="7"/>
      <c r="EL64" s="53">
        <f t="shared" si="10"/>
        <v>100</v>
      </c>
      <c r="EN64" s="51">
        <f t="shared" si="11"/>
        <v>-5786.2699999999941</v>
      </c>
      <c r="EP64" s="60">
        <f t="shared" si="12"/>
        <v>0</v>
      </c>
      <c r="EQ64" s="61">
        <f t="shared" si="13"/>
        <v>0</v>
      </c>
      <c r="ER64" s="15">
        <f t="shared" si="14"/>
        <v>0</v>
      </c>
      <c r="ES64" s="62">
        <f t="shared" si="16"/>
        <v>0</v>
      </c>
      <c r="EU64" s="6">
        <v>54</v>
      </c>
    </row>
    <row r="65" spans="1:151" x14ac:dyDescent="0.45">
      <c r="A65" s="69">
        <v>45442</v>
      </c>
      <c r="B65" s="25" t="s">
        <v>757</v>
      </c>
      <c r="C65" s="10" t="s">
        <v>758</v>
      </c>
      <c r="D65" s="7"/>
      <c r="E65" s="43">
        <v>35</v>
      </c>
      <c r="F65" s="43">
        <f>2.02+0.7</f>
        <v>2.7199999999999998</v>
      </c>
      <c r="G65" s="16">
        <f t="shared" si="1"/>
        <v>11674.510000000006</v>
      </c>
      <c r="H65" s="64" t="s">
        <v>625</v>
      </c>
      <c r="I65" s="52"/>
      <c r="J65" s="43"/>
      <c r="K65" s="43"/>
      <c r="L65" s="43"/>
      <c r="M65" s="43"/>
      <c r="N65" s="43"/>
      <c r="O65" s="43"/>
      <c r="P65" s="43"/>
      <c r="Q65" s="43"/>
      <c r="R65" s="43"/>
      <c r="S65" s="43"/>
      <c r="T65" s="43"/>
      <c r="U65" s="43"/>
      <c r="V65" s="43"/>
      <c r="W65" s="43"/>
      <c r="X65" s="43"/>
      <c r="Y65" s="43"/>
      <c r="Z65" s="43">
        <v>35</v>
      </c>
      <c r="AA65" s="43"/>
      <c r="AB65" s="43"/>
      <c r="AC65" s="43"/>
      <c r="AD65" s="43"/>
      <c r="AE65" s="43"/>
      <c r="AF65" s="43"/>
      <c r="AG65" s="43"/>
      <c r="AH65" s="43"/>
      <c r="AI65" s="43"/>
      <c r="AJ65" s="43"/>
      <c r="AK65" s="43"/>
      <c r="AL65" s="43"/>
      <c r="AM65" s="43"/>
      <c r="AN65" s="43"/>
      <c r="AO65" s="43"/>
      <c r="AP65" s="43"/>
      <c r="AQ65" s="43"/>
      <c r="AR65" s="53"/>
      <c r="AS65" s="52"/>
      <c r="AT65" s="43"/>
      <c r="AU65" s="43"/>
      <c r="AV65" s="43"/>
      <c r="AW65" s="43"/>
      <c r="AX65" s="43"/>
      <c r="AY65" s="43"/>
      <c r="AZ65" s="43">
        <v>2.72</v>
      </c>
      <c r="BA65" s="43"/>
      <c r="BB65" s="43"/>
      <c r="BC65" s="43"/>
      <c r="BD65" s="43"/>
      <c r="BE65" s="43"/>
      <c r="BF65" s="43"/>
      <c r="BG65" s="43"/>
      <c r="BH65" s="43"/>
      <c r="BI65" s="43"/>
      <c r="BJ65" s="43"/>
      <c r="BK65" s="43"/>
      <c r="BL65" s="43"/>
      <c r="BM65" s="43"/>
      <c r="BN65" s="43"/>
      <c r="BO65" s="43"/>
      <c r="BP65" s="43"/>
      <c r="BQ65" s="43"/>
      <c r="BR65" s="43"/>
      <c r="BS65" s="43"/>
      <c r="BT65" s="43"/>
      <c r="BU65" s="43"/>
      <c r="BV65" s="43"/>
      <c r="BW65" s="53"/>
      <c r="BX65" s="30">
        <f t="shared" si="0"/>
        <v>0</v>
      </c>
      <c r="BY65" s="52"/>
      <c r="BZ65" s="43"/>
      <c r="CA65" s="43">
        <v>35</v>
      </c>
      <c r="CB65" s="43"/>
      <c r="CC65" s="43"/>
      <c r="CD65" s="43"/>
      <c r="CE65" s="43"/>
      <c r="CF65" s="43"/>
      <c r="CG65" s="53"/>
      <c r="CH65" s="52"/>
      <c r="CI65" s="43"/>
      <c r="CJ65" s="43"/>
      <c r="CK65" s="43"/>
      <c r="CL65" s="43"/>
      <c r="CM65" s="43"/>
      <c r="CN65" s="43"/>
      <c r="CO65" s="43"/>
      <c r="CP65" s="43"/>
      <c r="CQ65" s="43"/>
      <c r="CR65" s="43"/>
      <c r="CS65" s="43"/>
      <c r="CT65" s="43"/>
      <c r="CU65" s="43"/>
      <c r="CV65" s="43"/>
      <c r="CW65" s="43"/>
      <c r="CX65" s="43"/>
      <c r="CY65" s="43"/>
      <c r="CZ65" s="7"/>
      <c r="DA65" s="7"/>
      <c r="DB65" s="43">
        <v>2.72</v>
      </c>
      <c r="DC65" s="43"/>
      <c r="DD65" s="53"/>
      <c r="DE65" s="73">
        <f t="shared" si="2"/>
        <v>0</v>
      </c>
      <c r="DG65" s="52"/>
      <c r="DH65" s="43"/>
      <c r="DI65" s="50">
        <f t="shared" si="3"/>
        <v>5982.49</v>
      </c>
      <c r="DK65" s="52"/>
      <c r="DL65" s="43"/>
      <c r="DM65" s="50">
        <f t="shared" si="4"/>
        <v>2491.1</v>
      </c>
      <c r="DO65" s="52">
        <v>35</v>
      </c>
      <c r="DP65" s="43">
        <v>2.72</v>
      </c>
      <c r="DQ65" s="50">
        <f t="shared" si="5"/>
        <v>7529.9799999999987</v>
      </c>
      <c r="DT65" s="52"/>
      <c r="DU65" s="43"/>
      <c r="DV65" s="50">
        <f t="shared" si="6"/>
        <v>361.19</v>
      </c>
      <c r="DX65" s="52"/>
      <c r="DY65" s="43"/>
      <c r="DZ65" s="53">
        <f t="shared" si="7"/>
        <v>-228.98</v>
      </c>
      <c r="EB65" s="52"/>
      <c r="EC65" s="43"/>
      <c r="ED65" s="53">
        <f t="shared" si="8"/>
        <v>0</v>
      </c>
      <c r="EF65" s="52"/>
      <c r="EG65" s="43"/>
      <c r="EH65" s="53">
        <f t="shared" si="9"/>
        <v>1225</v>
      </c>
      <c r="EJ65" s="65"/>
      <c r="EK65" s="7"/>
      <c r="EL65" s="53">
        <f t="shared" si="10"/>
        <v>100</v>
      </c>
      <c r="EN65" s="51">
        <f t="shared" si="11"/>
        <v>-5786.2699999999923</v>
      </c>
      <c r="EP65" s="60">
        <f t="shared" si="12"/>
        <v>0</v>
      </c>
      <c r="EQ65" s="61">
        <f t="shared" si="13"/>
        <v>0</v>
      </c>
      <c r="ER65" s="15">
        <f t="shared" si="14"/>
        <v>0</v>
      </c>
      <c r="ES65" s="163">
        <f t="shared" si="16"/>
        <v>0</v>
      </c>
      <c r="EU65">
        <v>55</v>
      </c>
    </row>
    <row r="66" spans="1:151" x14ac:dyDescent="0.45">
      <c r="A66" s="67">
        <v>45442</v>
      </c>
      <c r="B66" s="25" t="s">
        <v>770</v>
      </c>
      <c r="C66" s="10" t="s">
        <v>768</v>
      </c>
      <c r="D66" s="7"/>
      <c r="E66" s="43">
        <v>57</v>
      </c>
      <c r="F66" s="43">
        <f>2.91+1.14</f>
        <v>4.05</v>
      </c>
      <c r="G66" s="16">
        <f t="shared" si="1"/>
        <v>11727.460000000006</v>
      </c>
      <c r="H66" s="64" t="s">
        <v>625</v>
      </c>
      <c r="I66" s="52"/>
      <c r="J66" s="43"/>
      <c r="K66" s="43"/>
      <c r="L66" s="43"/>
      <c r="M66" s="43"/>
      <c r="N66" s="43"/>
      <c r="O66" s="43"/>
      <c r="P66" s="43"/>
      <c r="Q66" s="43"/>
      <c r="R66" s="43"/>
      <c r="S66" s="43"/>
      <c r="T66" s="43"/>
      <c r="U66" s="43"/>
      <c r="V66" s="43"/>
      <c r="W66" s="43"/>
      <c r="X66" s="43"/>
      <c r="Y66" s="43">
        <v>57</v>
      </c>
      <c r="Z66" s="43"/>
      <c r="AA66" s="43"/>
      <c r="AB66" s="43"/>
      <c r="AC66" s="43"/>
      <c r="AD66" s="43"/>
      <c r="AE66" s="43"/>
      <c r="AF66" s="43"/>
      <c r="AG66" s="43"/>
      <c r="AH66" s="43"/>
      <c r="AI66" s="43"/>
      <c r="AJ66" s="43"/>
      <c r="AK66" s="43"/>
      <c r="AL66" s="43"/>
      <c r="AM66" s="43"/>
      <c r="AN66" s="43"/>
      <c r="AO66" s="43"/>
      <c r="AP66" s="43"/>
      <c r="AQ66" s="43"/>
      <c r="AR66" s="53"/>
      <c r="AS66" s="52"/>
      <c r="AT66" s="43"/>
      <c r="AU66" s="43"/>
      <c r="AV66" s="43"/>
      <c r="AW66" s="43"/>
      <c r="AX66" s="43"/>
      <c r="AY66" s="43">
        <v>4.05</v>
      </c>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53"/>
      <c r="BX66" s="30">
        <f t="shared" si="0"/>
        <v>0</v>
      </c>
      <c r="BY66" s="52"/>
      <c r="BZ66" s="43"/>
      <c r="CA66" s="43">
        <v>57</v>
      </c>
      <c r="CB66" s="43"/>
      <c r="CC66" s="43"/>
      <c r="CD66" s="43"/>
      <c r="CE66" s="43"/>
      <c r="CF66" s="43"/>
      <c r="CG66" s="53"/>
      <c r="CH66" s="52"/>
      <c r="CI66" s="43"/>
      <c r="CJ66" s="43"/>
      <c r="CK66" s="43"/>
      <c r="CL66" s="43"/>
      <c r="CM66" s="43"/>
      <c r="CN66" s="43"/>
      <c r="CO66" s="43"/>
      <c r="CP66" s="43"/>
      <c r="CQ66" s="43"/>
      <c r="CR66" s="43"/>
      <c r="CS66" s="43"/>
      <c r="CT66" s="43"/>
      <c r="CU66" s="43"/>
      <c r="CV66" s="43"/>
      <c r="CW66" s="43"/>
      <c r="CX66" s="43"/>
      <c r="CY66" s="43"/>
      <c r="CZ66" s="43"/>
      <c r="DA66" s="43"/>
      <c r="DB66" s="43">
        <v>4.05</v>
      </c>
      <c r="DC66" s="43"/>
      <c r="DD66" s="53"/>
      <c r="DE66" s="73">
        <f t="shared" si="2"/>
        <v>0</v>
      </c>
      <c r="DG66" s="52"/>
      <c r="DH66" s="43"/>
      <c r="DI66" s="50">
        <f t="shared" si="3"/>
        <v>5982.49</v>
      </c>
      <c r="DK66" s="52">
        <v>57</v>
      </c>
      <c r="DL66" s="43">
        <v>4.05</v>
      </c>
      <c r="DM66" s="50">
        <f t="shared" si="4"/>
        <v>2544.0499999999997</v>
      </c>
      <c r="DO66" s="52"/>
      <c r="DP66" s="43"/>
      <c r="DQ66" s="50">
        <f t="shared" si="5"/>
        <v>7529.9799999999987</v>
      </c>
      <c r="DT66" s="52"/>
      <c r="DU66" s="43"/>
      <c r="DV66" s="50">
        <f t="shared" si="6"/>
        <v>361.19</v>
      </c>
      <c r="DX66" s="52"/>
      <c r="DY66" s="43"/>
      <c r="DZ66" s="53">
        <f t="shared" si="7"/>
        <v>-228.98</v>
      </c>
      <c r="EB66" s="52"/>
      <c r="EC66" s="43"/>
      <c r="ED66" s="53">
        <f t="shared" si="8"/>
        <v>0</v>
      </c>
      <c r="EF66" s="52"/>
      <c r="EG66" s="43"/>
      <c r="EH66" s="53">
        <f t="shared" si="9"/>
        <v>1225</v>
      </c>
      <c r="EJ66" s="65"/>
      <c r="EK66" s="7"/>
      <c r="EL66" s="53">
        <f t="shared" si="10"/>
        <v>100</v>
      </c>
      <c r="EN66" s="51">
        <f t="shared" si="11"/>
        <v>-5786.2699999999923</v>
      </c>
      <c r="EP66" s="60">
        <f t="shared" si="12"/>
        <v>0</v>
      </c>
      <c r="EQ66" s="61">
        <f t="shared" si="13"/>
        <v>0</v>
      </c>
      <c r="ER66" s="15">
        <f t="shared" si="14"/>
        <v>0</v>
      </c>
      <c r="ES66" s="62">
        <f t="shared" si="16"/>
        <v>0</v>
      </c>
      <c r="EU66" s="6">
        <v>56</v>
      </c>
    </row>
    <row r="67" spans="1:151" x14ac:dyDescent="0.45">
      <c r="A67" s="67">
        <v>45443</v>
      </c>
      <c r="B67" s="25" t="s">
        <v>752</v>
      </c>
      <c r="C67" s="10" t="s">
        <v>828</v>
      </c>
      <c r="D67" s="7"/>
      <c r="E67" s="43">
        <v>9</v>
      </c>
      <c r="F67" s="43">
        <f>0.45+0.18</f>
        <v>0.63</v>
      </c>
      <c r="G67" s="16">
        <f t="shared" si="1"/>
        <v>11735.830000000007</v>
      </c>
      <c r="H67" s="64" t="s">
        <v>625</v>
      </c>
      <c r="I67" s="52"/>
      <c r="J67" s="43"/>
      <c r="K67" s="43"/>
      <c r="L67" s="43"/>
      <c r="M67" s="43"/>
      <c r="N67" s="43"/>
      <c r="O67" s="43"/>
      <c r="P67" s="43"/>
      <c r="Q67" s="43"/>
      <c r="R67" s="43"/>
      <c r="S67" s="43"/>
      <c r="T67" s="43"/>
      <c r="U67" s="43"/>
      <c r="V67" s="43"/>
      <c r="W67" s="43"/>
      <c r="X67" s="43">
        <v>9</v>
      </c>
      <c r="Y67" s="43"/>
      <c r="Z67" s="43"/>
      <c r="AA67" s="43"/>
      <c r="AB67" s="43"/>
      <c r="AC67" s="43"/>
      <c r="AD67" s="43"/>
      <c r="AE67" s="43"/>
      <c r="AF67" s="43"/>
      <c r="AG67" s="43"/>
      <c r="AH67" s="43"/>
      <c r="AI67" s="43"/>
      <c r="AJ67" s="43"/>
      <c r="AK67" s="43"/>
      <c r="AL67" s="43"/>
      <c r="AM67" s="43"/>
      <c r="AN67" s="43"/>
      <c r="AO67" s="43"/>
      <c r="AP67" s="43"/>
      <c r="AQ67" s="43"/>
      <c r="AR67" s="53"/>
      <c r="AS67" s="52"/>
      <c r="AT67" s="43"/>
      <c r="AU67" s="43"/>
      <c r="AV67" s="43"/>
      <c r="AW67" s="43"/>
      <c r="AX67" s="43">
        <v>0.63</v>
      </c>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53"/>
      <c r="BX67" s="30">
        <f t="shared" si="0"/>
        <v>0</v>
      </c>
      <c r="BY67" s="52"/>
      <c r="BZ67" s="43"/>
      <c r="CA67" s="43">
        <v>9</v>
      </c>
      <c r="CB67" s="43"/>
      <c r="CC67" s="43"/>
      <c r="CD67" s="43"/>
      <c r="CE67" s="43"/>
      <c r="CF67" s="43"/>
      <c r="CG67" s="53"/>
      <c r="CH67" s="52"/>
      <c r="CI67" s="43"/>
      <c r="CJ67" s="43"/>
      <c r="CK67" s="43"/>
      <c r="CL67" s="43"/>
      <c r="CM67" s="43"/>
      <c r="CN67" s="43"/>
      <c r="CO67" s="43"/>
      <c r="CP67" s="43"/>
      <c r="CQ67" s="43"/>
      <c r="CR67" s="43"/>
      <c r="CS67" s="43"/>
      <c r="CT67" s="43"/>
      <c r="CU67" s="43"/>
      <c r="CV67" s="43"/>
      <c r="CW67" s="43"/>
      <c r="CX67" s="43"/>
      <c r="CY67" s="43"/>
      <c r="CZ67" s="7"/>
      <c r="DA67" s="7"/>
      <c r="DB67" s="43">
        <v>0.63</v>
      </c>
      <c r="DC67" s="43"/>
      <c r="DD67" s="53"/>
      <c r="DE67" s="73">
        <f t="shared" si="2"/>
        <v>0</v>
      </c>
      <c r="DG67" s="52">
        <v>9</v>
      </c>
      <c r="DH67" s="43">
        <v>0.63</v>
      </c>
      <c r="DI67" s="50">
        <f t="shared" si="3"/>
        <v>5990.86</v>
      </c>
      <c r="DK67" s="52"/>
      <c r="DL67" s="43"/>
      <c r="DM67" s="50">
        <f t="shared" si="4"/>
        <v>2544.0499999999997</v>
      </c>
      <c r="DO67" s="52"/>
      <c r="DP67" s="43"/>
      <c r="DQ67" s="50">
        <f t="shared" si="5"/>
        <v>7529.9799999999987</v>
      </c>
      <c r="DT67" s="52"/>
      <c r="DU67" s="43"/>
      <c r="DV67" s="50">
        <f t="shared" si="6"/>
        <v>361.19</v>
      </c>
      <c r="DX67" s="52"/>
      <c r="DY67" s="43"/>
      <c r="DZ67" s="53">
        <f t="shared" si="7"/>
        <v>-228.98</v>
      </c>
      <c r="EB67" s="52"/>
      <c r="EC67" s="43"/>
      <c r="ED67" s="53">
        <f t="shared" si="8"/>
        <v>0</v>
      </c>
      <c r="EF67" s="52"/>
      <c r="EG67" s="43"/>
      <c r="EH67" s="53">
        <f t="shared" si="9"/>
        <v>1225</v>
      </c>
      <c r="EJ67" s="65"/>
      <c r="EK67" s="7"/>
      <c r="EL67" s="53">
        <f t="shared" si="10"/>
        <v>100</v>
      </c>
      <c r="EN67" s="51">
        <f t="shared" si="11"/>
        <v>-5786.2699999999904</v>
      </c>
      <c r="EP67" s="60">
        <f t="shared" si="12"/>
        <v>0</v>
      </c>
      <c r="EQ67" s="61">
        <f t="shared" si="13"/>
        <v>0</v>
      </c>
      <c r="ER67" s="15">
        <f t="shared" si="14"/>
        <v>0</v>
      </c>
      <c r="ES67" s="163">
        <f t="shared" si="16"/>
        <v>0</v>
      </c>
      <c r="EU67">
        <v>57</v>
      </c>
    </row>
    <row r="68" spans="1:151" x14ac:dyDescent="0.45">
      <c r="A68" s="67">
        <v>45443</v>
      </c>
      <c r="B68" s="25" t="s">
        <v>765</v>
      </c>
      <c r="C68" s="10" t="s">
        <v>764</v>
      </c>
      <c r="D68" s="7"/>
      <c r="E68" s="43">
        <v>9</v>
      </c>
      <c r="F68" s="43">
        <v>0.63</v>
      </c>
      <c r="G68" s="16">
        <f t="shared" si="1"/>
        <v>11744.200000000008</v>
      </c>
      <c r="H68" s="64" t="s">
        <v>625</v>
      </c>
      <c r="I68" s="52"/>
      <c r="J68" s="43"/>
      <c r="K68" s="43"/>
      <c r="L68" s="43"/>
      <c r="M68" s="43"/>
      <c r="N68" s="43"/>
      <c r="O68" s="43"/>
      <c r="P68" s="43"/>
      <c r="Q68" s="43"/>
      <c r="R68" s="43"/>
      <c r="S68" s="43"/>
      <c r="T68" s="43"/>
      <c r="U68" s="43"/>
      <c r="V68" s="43"/>
      <c r="W68" s="43"/>
      <c r="X68" s="43"/>
      <c r="Y68" s="43"/>
      <c r="Z68" s="43">
        <v>9</v>
      </c>
      <c r="AA68" s="43"/>
      <c r="AB68" s="43"/>
      <c r="AC68" s="43"/>
      <c r="AD68" s="43"/>
      <c r="AE68" s="43"/>
      <c r="AF68" s="43"/>
      <c r="AG68" s="43"/>
      <c r="AH68" s="43"/>
      <c r="AI68" s="43"/>
      <c r="AJ68" s="43"/>
      <c r="AK68" s="43"/>
      <c r="AL68" s="43"/>
      <c r="AM68" s="43"/>
      <c r="AN68" s="43"/>
      <c r="AO68" s="43"/>
      <c r="AP68" s="43"/>
      <c r="AQ68" s="43"/>
      <c r="AR68" s="53"/>
      <c r="AS68" s="52"/>
      <c r="AT68" s="43"/>
      <c r="AU68" s="43"/>
      <c r="AV68" s="43"/>
      <c r="AW68" s="43"/>
      <c r="AX68" s="43"/>
      <c r="AY68" s="43"/>
      <c r="AZ68" s="43">
        <v>0.63</v>
      </c>
      <c r="BA68" s="43"/>
      <c r="BB68" s="43"/>
      <c r="BC68" s="43"/>
      <c r="BD68" s="43"/>
      <c r="BE68" s="43"/>
      <c r="BF68" s="43"/>
      <c r="BG68" s="43"/>
      <c r="BH68" s="43"/>
      <c r="BI68" s="43"/>
      <c r="BJ68" s="43"/>
      <c r="BK68" s="43"/>
      <c r="BL68" s="43"/>
      <c r="BM68" s="43"/>
      <c r="BN68" s="43"/>
      <c r="BO68" s="43"/>
      <c r="BP68" s="43"/>
      <c r="BQ68" s="43"/>
      <c r="BR68" s="43"/>
      <c r="BS68" s="43"/>
      <c r="BT68" s="43"/>
      <c r="BU68" s="43"/>
      <c r="BV68" s="43"/>
      <c r="BW68" s="53"/>
      <c r="BX68" s="30">
        <f t="shared" si="0"/>
        <v>0</v>
      </c>
      <c r="BY68" s="52"/>
      <c r="BZ68" s="43"/>
      <c r="CA68" s="43">
        <v>9</v>
      </c>
      <c r="CB68" s="43"/>
      <c r="CC68" s="43"/>
      <c r="CD68" s="43"/>
      <c r="CE68" s="43"/>
      <c r="CF68" s="43"/>
      <c r="CG68" s="53"/>
      <c r="CH68" s="52"/>
      <c r="CI68" s="43"/>
      <c r="CJ68" s="43"/>
      <c r="CK68" s="43"/>
      <c r="CL68" s="43"/>
      <c r="CM68" s="43"/>
      <c r="CN68" s="43"/>
      <c r="CO68" s="43"/>
      <c r="CP68" s="43"/>
      <c r="CQ68" s="43"/>
      <c r="CR68" s="43"/>
      <c r="CS68" s="43"/>
      <c r="CT68" s="43"/>
      <c r="CU68" s="43"/>
      <c r="CV68" s="43"/>
      <c r="CW68" s="43"/>
      <c r="CX68" s="43"/>
      <c r="CY68" s="43"/>
      <c r="CZ68" s="7"/>
      <c r="DA68" s="7"/>
      <c r="DB68" s="43">
        <v>0.63</v>
      </c>
      <c r="DC68" s="43"/>
      <c r="DD68" s="53"/>
      <c r="DE68" s="73">
        <f t="shared" si="2"/>
        <v>0</v>
      </c>
      <c r="DG68" s="52"/>
      <c r="DH68" s="43"/>
      <c r="DI68" s="50">
        <f t="shared" si="3"/>
        <v>5990.86</v>
      </c>
      <c r="DK68" s="52"/>
      <c r="DL68" s="43"/>
      <c r="DM68" s="50">
        <f t="shared" si="4"/>
        <v>2544.0499999999997</v>
      </c>
      <c r="DO68" s="52">
        <v>9</v>
      </c>
      <c r="DP68" s="43">
        <v>0.63</v>
      </c>
      <c r="DQ68" s="50">
        <f t="shared" si="5"/>
        <v>7538.3499999999985</v>
      </c>
      <c r="DT68" s="52"/>
      <c r="DU68" s="43"/>
      <c r="DV68" s="50">
        <f t="shared" si="6"/>
        <v>361.19</v>
      </c>
      <c r="DX68" s="52"/>
      <c r="DY68" s="43"/>
      <c r="DZ68" s="53">
        <f t="shared" si="7"/>
        <v>-228.98</v>
      </c>
      <c r="EB68" s="52"/>
      <c r="EC68" s="43"/>
      <c r="ED68" s="53">
        <f t="shared" si="8"/>
        <v>0</v>
      </c>
      <c r="EF68" s="52"/>
      <c r="EG68" s="43"/>
      <c r="EH68" s="53">
        <f t="shared" si="9"/>
        <v>1225</v>
      </c>
      <c r="EJ68" s="65"/>
      <c r="EK68" s="7"/>
      <c r="EL68" s="53">
        <f t="shared" si="10"/>
        <v>100</v>
      </c>
      <c r="EN68" s="51">
        <f t="shared" si="11"/>
        <v>-5786.2699999999904</v>
      </c>
      <c r="EP68" s="60">
        <f t="shared" si="12"/>
        <v>0</v>
      </c>
      <c r="EQ68" s="61">
        <f t="shared" si="13"/>
        <v>0</v>
      </c>
      <c r="ER68" s="15">
        <f t="shared" si="14"/>
        <v>0</v>
      </c>
      <c r="ES68" s="62">
        <f t="shared" si="16"/>
        <v>0</v>
      </c>
      <c r="EU68" s="6">
        <v>58</v>
      </c>
    </row>
    <row r="69" spans="1:151" x14ac:dyDescent="0.45">
      <c r="A69" s="67">
        <v>45443</v>
      </c>
      <c r="B69" s="25" t="s">
        <v>760</v>
      </c>
      <c r="C69" s="10" t="s">
        <v>759</v>
      </c>
      <c r="D69" s="7"/>
      <c r="E69" s="43">
        <v>4</v>
      </c>
      <c r="F69" s="43">
        <f>0.22+0.08</f>
        <v>0.3</v>
      </c>
      <c r="G69" s="16">
        <f t="shared" si="1"/>
        <v>11747.900000000009</v>
      </c>
      <c r="H69" s="64" t="s">
        <v>625</v>
      </c>
      <c r="I69" s="52"/>
      <c r="J69" s="43"/>
      <c r="K69" s="43"/>
      <c r="L69" s="43"/>
      <c r="M69" s="43"/>
      <c r="N69" s="43"/>
      <c r="O69" s="43"/>
      <c r="P69" s="43"/>
      <c r="Q69" s="43"/>
      <c r="R69" s="43"/>
      <c r="S69" s="43"/>
      <c r="T69" s="43"/>
      <c r="U69" s="43"/>
      <c r="V69" s="43"/>
      <c r="W69" s="43"/>
      <c r="X69" s="43"/>
      <c r="Y69" s="43"/>
      <c r="Z69" s="43">
        <v>4</v>
      </c>
      <c r="AA69" s="43"/>
      <c r="AB69" s="43"/>
      <c r="AC69" s="43"/>
      <c r="AD69" s="43"/>
      <c r="AE69" s="43"/>
      <c r="AF69" s="43"/>
      <c r="AG69" s="43"/>
      <c r="AH69" s="43"/>
      <c r="AI69" s="43"/>
      <c r="AJ69" s="43"/>
      <c r="AK69" s="43"/>
      <c r="AL69" s="43"/>
      <c r="AM69" s="43"/>
      <c r="AN69" s="43"/>
      <c r="AO69" s="43"/>
      <c r="AP69" s="43"/>
      <c r="AQ69" s="43"/>
      <c r="AR69" s="53"/>
      <c r="AS69" s="52"/>
      <c r="AT69" s="43"/>
      <c r="AU69" s="43"/>
      <c r="AV69" s="43"/>
      <c r="AW69" s="43"/>
      <c r="AX69" s="43"/>
      <c r="AY69" s="43"/>
      <c r="AZ69" s="43">
        <v>0.3</v>
      </c>
      <c r="BA69" s="43"/>
      <c r="BB69" s="43"/>
      <c r="BC69" s="43"/>
      <c r="BD69" s="43"/>
      <c r="BE69" s="43"/>
      <c r="BF69" s="43"/>
      <c r="BG69" s="43"/>
      <c r="BH69" s="43"/>
      <c r="BI69" s="43"/>
      <c r="BJ69" s="43"/>
      <c r="BK69" s="43"/>
      <c r="BL69" s="43"/>
      <c r="BM69" s="43"/>
      <c r="BN69" s="43"/>
      <c r="BO69" s="43"/>
      <c r="BP69" s="43"/>
      <c r="BQ69" s="43"/>
      <c r="BR69" s="43"/>
      <c r="BS69" s="43"/>
      <c r="BT69" s="43"/>
      <c r="BU69" s="43"/>
      <c r="BV69" s="43"/>
      <c r="BW69" s="53"/>
      <c r="BX69" s="30">
        <f t="shared" si="0"/>
        <v>0</v>
      </c>
      <c r="BY69" s="52"/>
      <c r="BZ69" s="43"/>
      <c r="CA69" s="43">
        <v>4</v>
      </c>
      <c r="CB69" s="43"/>
      <c r="CC69" s="43"/>
      <c r="CD69" s="43"/>
      <c r="CE69" s="43"/>
      <c r="CF69" s="43"/>
      <c r="CG69" s="53"/>
      <c r="CH69" s="52"/>
      <c r="CI69" s="43"/>
      <c r="CJ69" s="43"/>
      <c r="CK69" s="43"/>
      <c r="CL69" s="43"/>
      <c r="CM69" s="43"/>
      <c r="CN69" s="43"/>
      <c r="CO69" s="43"/>
      <c r="CP69" s="43"/>
      <c r="CQ69" s="43"/>
      <c r="CR69" s="43"/>
      <c r="CS69" s="43"/>
      <c r="CT69" s="43"/>
      <c r="CU69" s="43"/>
      <c r="CV69" s="43"/>
      <c r="CW69" s="43"/>
      <c r="CX69" s="43"/>
      <c r="CY69" s="43"/>
      <c r="CZ69" s="7"/>
      <c r="DA69" s="7"/>
      <c r="DB69" s="43">
        <v>0.3</v>
      </c>
      <c r="DC69" s="43"/>
      <c r="DD69" s="53"/>
      <c r="DE69" s="73">
        <f t="shared" si="2"/>
        <v>0</v>
      </c>
      <c r="DG69" s="52"/>
      <c r="DH69" s="43"/>
      <c r="DI69" s="50">
        <f t="shared" si="3"/>
        <v>5990.86</v>
      </c>
      <c r="DK69" s="52"/>
      <c r="DL69" s="43"/>
      <c r="DM69" s="50">
        <f t="shared" si="4"/>
        <v>2544.0499999999997</v>
      </c>
      <c r="DO69" s="52">
        <v>4</v>
      </c>
      <c r="DP69" s="43">
        <v>0.3</v>
      </c>
      <c r="DQ69" s="50">
        <f t="shared" si="5"/>
        <v>7542.0499999999984</v>
      </c>
      <c r="DT69" s="52"/>
      <c r="DU69" s="43"/>
      <c r="DV69" s="50">
        <f t="shared" si="6"/>
        <v>361.19</v>
      </c>
      <c r="DX69" s="52"/>
      <c r="DY69" s="43"/>
      <c r="DZ69" s="53">
        <f t="shared" si="7"/>
        <v>-228.98</v>
      </c>
      <c r="EB69" s="52"/>
      <c r="EC69" s="43"/>
      <c r="ED69" s="53">
        <f t="shared" si="8"/>
        <v>0</v>
      </c>
      <c r="EF69" s="52"/>
      <c r="EG69" s="43"/>
      <c r="EH69" s="53">
        <f t="shared" si="9"/>
        <v>1225</v>
      </c>
      <c r="EJ69" s="65"/>
      <c r="EK69" s="7"/>
      <c r="EL69" s="53">
        <f t="shared" si="10"/>
        <v>100</v>
      </c>
      <c r="EN69" s="51">
        <f t="shared" si="11"/>
        <v>-5786.2699999999886</v>
      </c>
      <c r="EP69" s="60">
        <f t="shared" si="12"/>
        <v>0</v>
      </c>
      <c r="EQ69" s="61">
        <f t="shared" si="13"/>
        <v>0</v>
      </c>
      <c r="ER69" s="15">
        <f t="shared" si="14"/>
        <v>0</v>
      </c>
      <c r="ES69" s="163">
        <f t="shared" si="16"/>
        <v>0</v>
      </c>
      <c r="EU69">
        <v>59</v>
      </c>
    </row>
    <row r="70" spans="1:151" x14ac:dyDescent="0.45">
      <c r="A70" s="67">
        <v>45443</v>
      </c>
      <c r="B70" s="25" t="s">
        <v>753</v>
      </c>
      <c r="C70" s="10" t="s">
        <v>769</v>
      </c>
      <c r="D70" s="7"/>
      <c r="E70" s="43">
        <v>49</v>
      </c>
      <c r="F70" s="43">
        <f>0.99+0.96</f>
        <v>1.95</v>
      </c>
      <c r="G70" s="66">
        <f t="shared" si="1"/>
        <v>11794.950000000008</v>
      </c>
      <c r="H70" s="64" t="s">
        <v>625</v>
      </c>
      <c r="I70" s="52"/>
      <c r="J70" s="43"/>
      <c r="K70" s="43"/>
      <c r="L70" s="43"/>
      <c r="M70" s="43"/>
      <c r="N70" s="43"/>
      <c r="O70" s="43"/>
      <c r="P70" s="43"/>
      <c r="Q70" s="43"/>
      <c r="R70" s="43"/>
      <c r="S70" s="43"/>
      <c r="T70" s="43"/>
      <c r="U70" s="43"/>
      <c r="V70" s="43"/>
      <c r="W70" s="43"/>
      <c r="X70" s="43"/>
      <c r="Y70" s="43">
        <v>49</v>
      </c>
      <c r="Z70" s="43"/>
      <c r="AA70" s="43"/>
      <c r="AB70" s="43"/>
      <c r="AC70" s="43"/>
      <c r="AD70" s="43"/>
      <c r="AE70" s="43"/>
      <c r="AF70" s="43"/>
      <c r="AG70" s="43"/>
      <c r="AH70" s="43"/>
      <c r="AI70" s="43"/>
      <c r="AJ70" s="43"/>
      <c r="AK70" s="43"/>
      <c r="AL70" s="43"/>
      <c r="AM70" s="43"/>
      <c r="AN70" s="43"/>
      <c r="AO70" s="43"/>
      <c r="AP70" s="43"/>
      <c r="AQ70" s="43"/>
      <c r="AR70" s="53"/>
      <c r="AS70" s="52"/>
      <c r="AT70" s="43"/>
      <c r="AU70" s="43"/>
      <c r="AV70" s="43"/>
      <c r="AW70" s="43"/>
      <c r="AX70" s="43"/>
      <c r="AY70" s="43">
        <v>1.95</v>
      </c>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53"/>
      <c r="BX70" s="30">
        <f t="shared" si="0"/>
        <v>0</v>
      </c>
      <c r="BY70" s="52"/>
      <c r="BZ70" s="43">
        <v>40</v>
      </c>
      <c r="CA70" s="43">
        <v>9</v>
      </c>
      <c r="CB70" s="43"/>
      <c r="CC70" s="43"/>
      <c r="CD70" s="43"/>
      <c r="CE70" s="43"/>
      <c r="CF70" s="43"/>
      <c r="CG70" s="53"/>
      <c r="CH70" s="52"/>
      <c r="CI70" s="43"/>
      <c r="CJ70" s="43"/>
      <c r="CK70" s="43"/>
      <c r="CL70" s="43"/>
      <c r="CM70" s="43"/>
      <c r="CN70" s="43"/>
      <c r="CO70" s="43"/>
      <c r="CP70" s="43"/>
      <c r="CQ70" s="43"/>
      <c r="CR70" s="43"/>
      <c r="CS70" s="43"/>
      <c r="CT70" s="43"/>
      <c r="CU70" s="43"/>
      <c r="CV70" s="43"/>
      <c r="CW70" s="43"/>
      <c r="CX70" s="43"/>
      <c r="CY70" s="43"/>
      <c r="CZ70" s="7"/>
      <c r="DA70" s="7"/>
      <c r="DB70" s="43">
        <v>1.95</v>
      </c>
      <c r="DC70" s="43"/>
      <c r="DD70" s="53"/>
      <c r="DE70" s="73">
        <f t="shared" si="2"/>
        <v>0</v>
      </c>
      <c r="DG70" s="52"/>
      <c r="DH70" s="43"/>
      <c r="DI70" s="50">
        <f t="shared" si="3"/>
        <v>5990.86</v>
      </c>
      <c r="DK70" s="52">
        <v>49</v>
      </c>
      <c r="DL70" s="43">
        <v>1.95</v>
      </c>
      <c r="DM70" s="50">
        <f t="shared" si="4"/>
        <v>2591.1</v>
      </c>
      <c r="DO70" s="52"/>
      <c r="DP70" s="43"/>
      <c r="DQ70" s="50">
        <f t="shared" si="5"/>
        <v>7542.0499999999984</v>
      </c>
      <c r="DT70" s="52"/>
      <c r="DU70" s="43"/>
      <c r="DV70" s="50">
        <f t="shared" si="6"/>
        <v>361.19</v>
      </c>
      <c r="DX70" s="52"/>
      <c r="DY70" s="43"/>
      <c r="DZ70" s="53">
        <f t="shared" si="7"/>
        <v>-228.98</v>
      </c>
      <c r="EB70" s="52"/>
      <c r="EC70" s="43"/>
      <c r="ED70" s="53">
        <f t="shared" si="8"/>
        <v>0</v>
      </c>
      <c r="EF70" s="52"/>
      <c r="EG70" s="43"/>
      <c r="EH70" s="53">
        <f t="shared" si="9"/>
        <v>1225</v>
      </c>
      <c r="EJ70" s="65"/>
      <c r="EK70" s="7"/>
      <c r="EL70" s="53">
        <f t="shared" si="10"/>
        <v>100</v>
      </c>
      <c r="EN70" s="51">
        <f t="shared" si="11"/>
        <v>-5786.2699999999904</v>
      </c>
      <c r="EP70" s="60">
        <f t="shared" si="12"/>
        <v>0</v>
      </c>
      <c r="EQ70" s="61">
        <f t="shared" si="13"/>
        <v>0</v>
      </c>
      <c r="ER70" s="15">
        <f t="shared" si="14"/>
        <v>0</v>
      </c>
      <c r="ES70" s="62">
        <f t="shared" si="16"/>
        <v>0</v>
      </c>
      <c r="EU70" s="6">
        <v>60</v>
      </c>
    </row>
    <row r="71" spans="1:151" x14ac:dyDescent="0.45">
      <c r="A71" s="67">
        <v>45446</v>
      </c>
      <c r="B71" s="25" t="s">
        <v>748</v>
      </c>
      <c r="C71" s="10" t="s">
        <v>712</v>
      </c>
      <c r="D71" s="7"/>
      <c r="E71" s="43">
        <v>40</v>
      </c>
      <c r="F71" s="43">
        <v>1.32</v>
      </c>
      <c r="G71" s="16">
        <f t="shared" si="1"/>
        <v>11833.630000000008</v>
      </c>
      <c r="H71" s="64" t="s">
        <v>625</v>
      </c>
      <c r="I71" s="52"/>
      <c r="J71" s="43"/>
      <c r="K71" s="43"/>
      <c r="L71" s="43"/>
      <c r="M71" s="43"/>
      <c r="N71" s="43"/>
      <c r="O71" s="43"/>
      <c r="P71" s="43"/>
      <c r="Q71" s="43"/>
      <c r="R71" s="43"/>
      <c r="S71" s="43"/>
      <c r="T71" s="43"/>
      <c r="U71" s="43"/>
      <c r="V71" s="43"/>
      <c r="W71" s="43"/>
      <c r="X71" s="43"/>
      <c r="Y71" s="43">
        <v>40</v>
      </c>
      <c r="Z71" s="43"/>
      <c r="AA71" s="43"/>
      <c r="AB71" s="43"/>
      <c r="AC71" s="43"/>
      <c r="AD71" s="43"/>
      <c r="AE71" s="43"/>
      <c r="AF71" s="43"/>
      <c r="AG71" s="43"/>
      <c r="AH71" s="43"/>
      <c r="AI71" s="43"/>
      <c r="AJ71" s="43"/>
      <c r="AK71" s="43"/>
      <c r="AL71" s="43"/>
      <c r="AM71" s="43"/>
      <c r="AN71" s="43"/>
      <c r="AO71" s="43"/>
      <c r="AP71" s="43"/>
      <c r="AQ71" s="43"/>
      <c r="AR71" s="53"/>
      <c r="AS71" s="52"/>
      <c r="AT71" s="43"/>
      <c r="AU71" s="43"/>
      <c r="AV71" s="43"/>
      <c r="AW71" s="43"/>
      <c r="AX71" s="43"/>
      <c r="AY71" s="43">
        <v>1.32</v>
      </c>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53"/>
      <c r="BX71" s="30">
        <f t="shared" ref="BX71:BX134" si="17">E71-SUM(I71:AR71)+F71-SUM(AS71:BW71)</f>
        <v>0</v>
      </c>
      <c r="BY71" s="52"/>
      <c r="BZ71" s="43">
        <v>40</v>
      </c>
      <c r="CA71" s="43"/>
      <c r="CB71" s="43"/>
      <c r="CC71" s="43"/>
      <c r="CD71" s="43"/>
      <c r="CE71" s="43"/>
      <c r="CF71" s="43"/>
      <c r="CG71" s="53"/>
      <c r="CH71" s="52"/>
      <c r="CI71" s="43"/>
      <c r="CJ71" s="43"/>
      <c r="CK71" s="43"/>
      <c r="CL71" s="43"/>
      <c r="CM71" s="43"/>
      <c r="CN71" s="43"/>
      <c r="CO71" s="43"/>
      <c r="CP71" s="43"/>
      <c r="CQ71" s="43"/>
      <c r="CR71" s="43"/>
      <c r="CS71" s="43"/>
      <c r="CT71" s="43"/>
      <c r="CU71" s="43"/>
      <c r="CV71" s="43"/>
      <c r="CW71" s="43"/>
      <c r="CX71" s="43"/>
      <c r="CY71" s="43"/>
      <c r="CZ71" s="7"/>
      <c r="DA71" s="7"/>
      <c r="DB71" s="43">
        <v>1.32</v>
      </c>
      <c r="DC71" s="43"/>
      <c r="DD71" s="53"/>
      <c r="DE71" s="73">
        <f t="shared" si="2"/>
        <v>0</v>
      </c>
      <c r="DG71" s="52"/>
      <c r="DH71" s="43"/>
      <c r="DI71" s="50">
        <f t="shared" si="3"/>
        <v>5990.86</v>
      </c>
      <c r="DK71" s="52">
        <v>40</v>
      </c>
      <c r="DL71" s="43">
        <v>1.32</v>
      </c>
      <c r="DM71" s="50">
        <f t="shared" si="4"/>
        <v>2629.7799999999997</v>
      </c>
      <c r="DO71" s="52"/>
      <c r="DP71" s="43"/>
      <c r="DQ71" s="50">
        <f t="shared" si="5"/>
        <v>7542.0499999999984</v>
      </c>
      <c r="DT71" s="52"/>
      <c r="DU71" s="43"/>
      <c r="DV71" s="50">
        <f t="shared" si="6"/>
        <v>361.19</v>
      </c>
      <c r="DX71" s="52"/>
      <c r="DY71" s="43"/>
      <c r="DZ71" s="53">
        <f t="shared" si="7"/>
        <v>-228.98</v>
      </c>
      <c r="EB71" s="52"/>
      <c r="EC71" s="43"/>
      <c r="ED71" s="53">
        <f t="shared" si="8"/>
        <v>0</v>
      </c>
      <c r="EF71" s="52"/>
      <c r="EG71" s="43"/>
      <c r="EH71" s="53">
        <f t="shared" si="9"/>
        <v>1225</v>
      </c>
      <c r="EJ71" s="65"/>
      <c r="EK71" s="7"/>
      <c r="EL71" s="53">
        <f t="shared" si="10"/>
        <v>100</v>
      </c>
      <c r="EN71" s="51">
        <f t="shared" si="11"/>
        <v>-5786.2699999999895</v>
      </c>
      <c r="EP71" s="60">
        <f t="shared" si="12"/>
        <v>0</v>
      </c>
      <c r="EQ71" s="61">
        <f t="shared" si="13"/>
        <v>0</v>
      </c>
      <c r="ER71" s="15">
        <f t="shared" si="14"/>
        <v>0</v>
      </c>
      <c r="ES71" s="163">
        <f t="shared" si="16"/>
        <v>0</v>
      </c>
      <c r="EU71">
        <v>61</v>
      </c>
    </row>
    <row r="72" spans="1:151" x14ac:dyDescent="0.45">
      <c r="A72" s="67">
        <v>45446</v>
      </c>
      <c r="B72" s="25" t="s">
        <v>778</v>
      </c>
      <c r="C72" s="10" t="s">
        <v>775</v>
      </c>
      <c r="D72" s="7"/>
      <c r="E72" s="43">
        <v>9</v>
      </c>
      <c r="F72" s="43">
        <f>0.26+0.18</f>
        <v>0.44</v>
      </c>
      <c r="G72" s="16">
        <f t="shared" ref="G72:G135" si="18">G71+E72-F72</f>
        <v>11842.190000000008</v>
      </c>
      <c r="H72" s="64" t="s">
        <v>625</v>
      </c>
      <c r="I72" s="52"/>
      <c r="J72" s="43"/>
      <c r="K72" s="43"/>
      <c r="L72" s="43"/>
      <c r="M72" s="43"/>
      <c r="N72" s="43"/>
      <c r="O72" s="43"/>
      <c r="P72" s="43"/>
      <c r="Q72" s="43"/>
      <c r="R72" s="43"/>
      <c r="S72" s="43"/>
      <c r="T72" s="43"/>
      <c r="U72" s="43"/>
      <c r="V72" s="43"/>
      <c r="W72" s="43"/>
      <c r="X72" s="43"/>
      <c r="Y72" s="43"/>
      <c r="Z72" s="43">
        <v>9</v>
      </c>
      <c r="AA72" s="43"/>
      <c r="AB72" s="43"/>
      <c r="AC72" s="43"/>
      <c r="AD72" s="43"/>
      <c r="AE72" s="43"/>
      <c r="AF72" s="43"/>
      <c r="AG72" s="43"/>
      <c r="AH72" s="43"/>
      <c r="AI72" s="43"/>
      <c r="AJ72" s="43"/>
      <c r="AK72" s="43"/>
      <c r="AL72" s="43"/>
      <c r="AM72" s="43"/>
      <c r="AN72" s="43"/>
      <c r="AO72" s="43"/>
      <c r="AP72" s="43"/>
      <c r="AQ72" s="43"/>
      <c r="AR72" s="53"/>
      <c r="AS72" s="52"/>
      <c r="AT72" s="43"/>
      <c r="AU72" s="43"/>
      <c r="AV72" s="43"/>
      <c r="AW72" s="43"/>
      <c r="AX72" s="43"/>
      <c r="AY72" s="43"/>
      <c r="AZ72" s="43">
        <v>0.44</v>
      </c>
      <c r="BA72" s="43"/>
      <c r="BB72" s="43"/>
      <c r="BC72" s="43"/>
      <c r="BD72" s="43"/>
      <c r="BE72" s="43"/>
      <c r="BF72" s="43"/>
      <c r="BG72" s="43"/>
      <c r="BH72" s="43"/>
      <c r="BI72" s="43"/>
      <c r="BJ72" s="43"/>
      <c r="BK72" s="43"/>
      <c r="BL72" s="43"/>
      <c r="BM72" s="43"/>
      <c r="BN72" s="43"/>
      <c r="BO72" s="43"/>
      <c r="BP72" s="43"/>
      <c r="BQ72" s="43"/>
      <c r="BR72" s="43"/>
      <c r="BS72" s="43"/>
      <c r="BT72" s="43"/>
      <c r="BU72" s="43"/>
      <c r="BV72" s="43"/>
      <c r="BW72" s="53"/>
      <c r="BX72" s="30">
        <f t="shared" si="17"/>
        <v>0</v>
      </c>
      <c r="BY72" s="52"/>
      <c r="BZ72" s="43"/>
      <c r="CA72" s="43"/>
      <c r="CB72" s="43">
        <v>9</v>
      </c>
      <c r="CC72" s="43"/>
      <c r="CD72" s="43"/>
      <c r="CE72" s="43"/>
      <c r="CF72" s="43"/>
      <c r="CG72" s="53"/>
      <c r="CH72" s="52"/>
      <c r="CI72" s="43"/>
      <c r="CJ72" s="43"/>
      <c r="CK72" s="43"/>
      <c r="CL72" s="43"/>
      <c r="CM72" s="43"/>
      <c r="CN72" s="43"/>
      <c r="CO72" s="43"/>
      <c r="CP72" s="43"/>
      <c r="CQ72" s="43"/>
      <c r="CR72" s="43"/>
      <c r="CS72" s="43"/>
      <c r="CT72" s="43"/>
      <c r="CU72" s="43"/>
      <c r="CV72" s="43"/>
      <c r="CW72" s="43"/>
      <c r="CX72" s="43"/>
      <c r="CY72" s="43"/>
      <c r="CZ72" s="7"/>
      <c r="DA72" s="7"/>
      <c r="DB72" s="43">
        <v>0.44</v>
      </c>
      <c r="DC72" s="43"/>
      <c r="DD72" s="53"/>
      <c r="DE72" s="73">
        <f t="shared" ref="DE72:DE135" si="19">SUM(E72:F72)-SUM(BY72:DD72)</f>
        <v>0</v>
      </c>
      <c r="DG72" s="52"/>
      <c r="DH72" s="43"/>
      <c r="DI72" s="50">
        <f t="shared" ref="DI72:DI135" si="20">SUM(DI71+DG72-DH72)</f>
        <v>5990.86</v>
      </c>
      <c r="DK72" s="52"/>
      <c r="DL72" s="43"/>
      <c r="DM72" s="50">
        <f t="shared" ref="DM72:DM135" si="21">SUM(DM71+DK72-DL72)</f>
        <v>2629.7799999999997</v>
      </c>
      <c r="DO72" s="52">
        <v>9</v>
      </c>
      <c r="DP72" s="43">
        <v>0.44</v>
      </c>
      <c r="DQ72" s="50">
        <f t="shared" ref="DQ72:DQ135" si="22">SUM(DQ71+DO72-DP72)</f>
        <v>7550.6099999999988</v>
      </c>
      <c r="DT72" s="52"/>
      <c r="DU72" s="43"/>
      <c r="DV72" s="50">
        <f t="shared" ref="DV72:DV135" si="23">SUM(DV71+DT72-DU72)</f>
        <v>361.19</v>
      </c>
      <c r="DX72" s="52"/>
      <c r="DY72" s="43"/>
      <c r="DZ72" s="53">
        <f t="shared" ref="DZ72:DZ135" si="24">DZ71+DX72-DY72</f>
        <v>-228.98</v>
      </c>
      <c r="EB72" s="52"/>
      <c r="EC72" s="43"/>
      <c r="ED72" s="53">
        <f t="shared" ref="ED72:ED135" si="25">ED71+EB72-EC72</f>
        <v>0</v>
      </c>
      <c r="EF72" s="52"/>
      <c r="EG72" s="43"/>
      <c r="EH72" s="53">
        <f t="shared" ref="EH72:EH135" si="26">EH71+EF72-EG72</f>
        <v>1225</v>
      </c>
      <c r="EJ72" s="65"/>
      <c r="EK72" s="7"/>
      <c r="EL72" s="53">
        <f t="shared" ref="EL72:EL135" si="27">EL71+EJ72-EK72</f>
        <v>100</v>
      </c>
      <c r="EN72" s="51">
        <f t="shared" ref="EN72:EN135" si="28">G72-DI72-DM72-DQ72-DZ72-ED72-EH72-EL72-DV72</f>
        <v>-5786.2699999999904</v>
      </c>
      <c r="EP72" s="60">
        <f t="shared" ref="EP72:EP135" si="29">DH71-AS71-AX71-BD71-BI71-BN71-BS71</f>
        <v>0</v>
      </c>
      <c r="EQ72" s="61">
        <f t="shared" ref="EQ72:EQ135" si="30">+DL72-BT72-BO72-BJ72-BE72-AY72-AT72</f>
        <v>0</v>
      </c>
      <c r="ER72" s="15">
        <f t="shared" ref="ER72:ER135" si="31">+DP72-BU72-BP72-BK72-BF72-AZ72-AU72</f>
        <v>0</v>
      </c>
      <c r="ES72" s="62">
        <f t="shared" ref="ES72:ES82" si="32">+X72+Y72+Z72+AA72-BZ72-CA72-CB72-CC72</f>
        <v>0</v>
      </c>
      <c r="EU72" s="6">
        <v>62</v>
      </c>
    </row>
    <row r="73" spans="1:151" x14ac:dyDescent="0.45">
      <c r="A73" s="67">
        <v>45446</v>
      </c>
      <c r="B73" s="25" t="s">
        <v>771</v>
      </c>
      <c r="C73" s="10" t="s">
        <v>633</v>
      </c>
      <c r="D73" s="7"/>
      <c r="E73" s="43">
        <v>19.649999999999999</v>
      </c>
      <c r="F73" s="43"/>
      <c r="G73" s="16">
        <f t="shared" si="18"/>
        <v>11861.840000000007</v>
      </c>
      <c r="H73" s="64" t="s">
        <v>625</v>
      </c>
      <c r="I73" s="52"/>
      <c r="J73" s="43"/>
      <c r="K73" s="43"/>
      <c r="L73" s="43"/>
      <c r="M73" s="43"/>
      <c r="N73" s="43"/>
      <c r="O73" s="43"/>
      <c r="P73" s="43"/>
      <c r="Q73" s="43"/>
      <c r="R73" s="43"/>
      <c r="S73" s="43"/>
      <c r="T73" s="43"/>
      <c r="U73" s="43"/>
      <c r="V73" s="43"/>
      <c r="W73" s="43"/>
      <c r="X73" s="43"/>
      <c r="Y73" s="43"/>
      <c r="Z73" s="43"/>
      <c r="AA73" s="43"/>
      <c r="AB73" s="43">
        <v>19.649999999999999</v>
      </c>
      <c r="AC73" s="43"/>
      <c r="AD73" s="43"/>
      <c r="AE73" s="43"/>
      <c r="AF73" s="43"/>
      <c r="AG73" s="43"/>
      <c r="AH73" s="43"/>
      <c r="AI73" s="43"/>
      <c r="AJ73" s="43"/>
      <c r="AK73" s="43"/>
      <c r="AL73" s="43"/>
      <c r="AM73" s="43"/>
      <c r="AN73" s="43"/>
      <c r="AO73" s="43"/>
      <c r="AP73" s="43"/>
      <c r="AQ73" s="43"/>
      <c r="AR73" s="53"/>
      <c r="AS73" s="52"/>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53"/>
      <c r="BX73" s="30">
        <f t="shared" si="17"/>
        <v>0</v>
      </c>
      <c r="BY73" s="52"/>
      <c r="BZ73" s="43"/>
      <c r="CA73" s="43"/>
      <c r="CB73" s="43"/>
      <c r="CC73" s="43"/>
      <c r="CD73" s="43"/>
      <c r="CE73" s="43"/>
      <c r="CF73" s="43"/>
      <c r="CG73" s="53">
        <v>19.649999999999999</v>
      </c>
      <c r="CH73" s="52"/>
      <c r="CI73" s="43"/>
      <c r="CJ73" s="43"/>
      <c r="CK73" s="43"/>
      <c r="CL73" s="43"/>
      <c r="CM73" s="43"/>
      <c r="CN73" s="43"/>
      <c r="CO73" s="43"/>
      <c r="CP73" s="43"/>
      <c r="CQ73" s="43"/>
      <c r="CR73" s="43"/>
      <c r="CS73" s="43"/>
      <c r="CT73" s="43"/>
      <c r="CU73" s="43"/>
      <c r="CV73" s="43"/>
      <c r="CW73" s="43"/>
      <c r="CX73" s="43"/>
      <c r="CY73" s="43"/>
      <c r="CZ73" s="7"/>
      <c r="DA73" s="7"/>
      <c r="DB73" s="43"/>
      <c r="DC73" s="43"/>
      <c r="DD73" s="53"/>
      <c r="DE73" s="73">
        <f t="shared" si="19"/>
        <v>0</v>
      </c>
      <c r="DG73" s="52"/>
      <c r="DH73" s="43"/>
      <c r="DI73" s="50">
        <f t="shared" si="20"/>
        <v>5990.86</v>
      </c>
      <c r="DK73" s="52"/>
      <c r="DL73" s="43"/>
      <c r="DM73" s="50">
        <f t="shared" si="21"/>
        <v>2629.7799999999997</v>
      </c>
      <c r="DO73" s="52"/>
      <c r="DP73" s="43"/>
      <c r="DQ73" s="50">
        <f t="shared" si="22"/>
        <v>7550.6099999999988</v>
      </c>
      <c r="DT73" s="52"/>
      <c r="DU73" s="43"/>
      <c r="DV73" s="50">
        <f t="shared" si="23"/>
        <v>361.19</v>
      </c>
      <c r="DX73" s="52">
        <v>19.649999999999999</v>
      </c>
      <c r="DY73" s="43"/>
      <c r="DZ73" s="53">
        <f t="shared" si="24"/>
        <v>-209.32999999999998</v>
      </c>
      <c r="EB73" s="52"/>
      <c r="EC73" s="43"/>
      <c r="ED73" s="53">
        <f t="shared" si="25"/>
        <v>0</v>
      </c>
      <c r="EF73" s="52"/>
      <c r="EG73" s="43"/>
      <c r="EH73" s="53">
        <f t="shared" si="26"/>
        <v>1225</v>
      </c>
      <c r="EJ73" s="65"/>
      <c r="EK73" s="7"/>
      <c r="EL73" s="53">
        <f t="shared" si="27"/>
        <v>100</v>
      </c>
      <c r="EN73" s="51">
        <f t="shared" si="28"/>
        <v>-5786.2699999999904</v>
      </c>
      <c r="EP73" s="60">
        <f t="shared" si="29"/>
        <v>0</v>
      </c>
      <c r="EQ73" s="61">
        <f t="shared" si="30"/>
        <v>0</v>
      </c>
      <c r="ER73" s="15">
        <f t="shared" si="31"/>
        <v>0</v>
      </c>
      <c r="ES73" s="163">
        <f t="shared" si="32"/>
        <v>0</v>
      </c>
      <c r="EU73">
        <v>63</v>
      </c>
    </row>
    <row r="74" spans="1:151" x14ac:dyDescent="0.45">
      <c r="A74" s="67">
        <v>45447</v>
      </c>
      <c r="B74" s="25" t="s">
        <v>772</v>
      </c>
      <c r="C74" s="10" t="s">
        <v>647</v>
      </c>
      <c r="D74" s="7"/>
      <c r="E74" s="43">
        <v>0.63</v>
      </c>
      <c r="F74" s="43"/>
      <c r="G74" s="16">
        <f t="shared" si="18"/>
        <v>11862.470000000007</v>
      </c>
      <c r="H74" s="64" t="s">
        <v>625</v>
      </c>
      <c r="I74" s="52"/>
      <c r="J74" s="43"/>
      <c r="K74" s="43"/>
      <c r="L74" s="43"/>
      <c r="M74" s="43"/>
      <c r="N74" s="43"/>
      <c r="O74" s="43"/>
      <c r="P74" s="43"/>
      <c r="Q74" s="43"/>
      <c r="R74" s="43"/>
      <c r="S74" s="43"/>
      <c r="T74" s="43"/>
      <c r="U74" s="43"/>
      <c r="V74" s="43"/>
      <c r="W74" s="43"/>
      <c r="X74" s="43"/>
      <c r="Y74" s="43"/>
      <c r="Z74" s="43"/>
      <c r="AA74" s="43"/>
      <c r="AB74" s="43">
        <v>0.63</v>
      </c>
      <c r="AC74" s="43"/>
      <c r="AD74" s="43"/>
      <c r="AE74" s="43"/>
      <c r="AF74" s="43"/>
      <c r="AG74" s="43"/>
      <c r="AH74" s="43"/>
      <c r="AI74" s="43"/>
      <c r="AJ74" s="43"/>
      <c r="AK74" s="43"/>
      <c r="AL74" s="43"/>
      <c r="AM74" s="43"/>
      <c r="AN74" s="43"/>
      <c r="AO74" s="43"/>
      <c r="AP74" s="43"/>
      <c r="AQ74" s="43"/>
      <c r="AR74" s="53"/>
      <c r="AS74" s="52"/>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53"/>
      <c r="BX74" s="30">
        <f t="shared" si="17"/>
        <v>0</v>
      </c>
      <c r="BY74" s="52">
        <v>0.63</v>
      </c>
      <c r="BZ74" s="43"/>
      <c r="CA74" s="43"/>
      <c r="CB74" s="43"/>
      <c r="CC74" s="43"/>
      <c r="CD74" s="43"/>
      <c r="CE74" s="43"/>
      <c r="CF74" s="43"/>
      <c r="CG74" s="53"/>
      <c r="CH74" s="52"/>
      <c r="CI74" s="43"/>
      <c r="CJ74" s="43"/>
      <c r="CK74" s="43"/>
      <c r="CL74" s="43"/>
      <c r="CM74" s="43"/>
      <c r="CN74" s="43"/>
      <c r="CO74" s="43"/>
      <c r="CP74" s="43"/>
      <c r="CQ74" s="43"/>
      <c r="CR74" s="43"/>
      <c r="CS74" s="43"/>
      <c r="CT74" s="43"/>
      <c r="CU74" s="43"/>
      <c r="CV74" s="43"/>
      <c r="CW74" s="43"/>
      <c r="CX74" s="43"/>
      <c r="CY74" s="43"/>
      <c r="CZ74" s="7"/>
      <c r="DA74" s="7"/>
      <c r="DB74" s="43"/>
      <c r="DC74" s="43"/>
      <c r="DD74" s="53"/>
      <c r="DE74" s="73">
        <f t="shared" si="19"/>
        <v>0</v>
      </c>
      <c r="DG74" s="52"/>
      <c r="DH74" s="43"/>
      <c r="DI74" s="50">
        <f t="shared" si="20"/>
        <v>5990.86</v>
      </c>
      <c r="DK74" s="52"/>
      <c r="DL74" s="43"/>
      <c r="DM74" s="50">
        <f t="shared" si="21"/>
        <v>2629.7799999999997</v>
      </c>
      <c r="DO74" s="52"/>
      <c r="DP74" s="43"/>
      <c r="DQ74" s="50">
        <f t="shared" si="22"/>
        <v>7550.6099999999988</v>
      </c>
      <c r="DT74" s="52"/>
      <c r="DU74" s="43"/>
      <c r="DV74" s="50">
        <f t="shared" si="23"/>
        <v>361.19</v>
      </c>
      <c r="DX74" s="52">
        <v>0.63</v>
      </c>
      <c r="DY74" s="43"/>
      <c r="DZ74" s="53">
        <f t="shared" si="24"/>
        <v>-208.7</v>
      </c>
      <c r="EB74" s="52"/>
      <c r="EC74" s="43"/>
      <c r="ED74" s="53">
        <f t="shared" si="25"/>
        <v>0</v>
      </c>
      <c r="EF74" s="52"/>
      <c r="EG74" s="43"/>
      <c r="EH74" s="53">
        <f t="shared" si="26"/>
        <v>1225</v>
      </c>
      <c r="EJ74" s="65"/>
      <c r="EK74" s="7"/>
      <c r="EL74" s="53">
        <f t="shared" si="27"/>
        <v>100</v>
      </c>
      <c r="EN74" s="51">
        <f t="shared" si="28"/>
        <v>-5786.2699999999913</v>
      </c>
      <c r="EP74" s="60">
        <f t="shared" si="29"/>
        <v>0</v>
      </c>
      <c r="EQ74" s="61">
        <f t="shared" si="30"/>
        <v>0</v>
      </c>
      <c r="ER74" s="15">
        <f t="shared" si="31"/>
        <v>0</v>
      </c>
      <c r="ES74" s="62">
        <f t="shared" si="32"/>
        <v>0</v>
      </c>
      <c r="EU74" s="6">
        <v>64</v>
      </c>
    </row>
    <row r="75" spans="1:151" x14ac:dyDescent="0.45">
      <c r="A75" s="67">
        <v>45447</v>
      </c>
      <c r="B75" s="25" t="s">
        <v>778</v>
      </c>
      <c r="C75" s="10" t="s">
        <v>776</v>
      </c>
      <c r="D75" s="7"/>
      <c r="E75" s="43">
        <v>18</v>
      </c>
      <c r="F75" s="43">
        <f>0.52+0.36</f>
        <v>0.88</v>
      </c>
      <c r="G75" s="16">
        <f t="shared" si="18"/>
        <v>11879.590000000007</v>
      </c>
      <c r="H75" s="64" t="s">
        <v>625</v>
      </c>
      <c r="I75" s="52"/>
      <c r="J75" s="43"/>
      <c r="K75" s="43"/>
      <c r="L75" s="43"/>
      <c r="M75" s="43"/>
      <c r="N75" s="43"/>
      <c r="O75" s="43"/>
      <c r="P75" s="43"/>
      <c r="Q75" s="43"/>
      <c r="R75" s="43"/>
      <c r="S75" s="43"/>
      <c r="T75" s="43"/>
      <c r="U75" s="43"/>
      <c r="V75" s="43"/>
      <c r="W75" s="43"/>
      <c r="X75" s="43"/>
      <c r="Y75" s="43"/>
      <c r="Z75" s="43">
        <v>18</v>
      </c>
      <c r="AA75" s="43"/>
      <c r="AB75" s="43"/>
      <c r="AC75" s="43"/>
      <c r="AD75" s="43"/>
      <c r="AE75" s="43"/>
      <c r="AF75" s="43"/>
      <c r="AG75" s="43"/>
      <c r="AH75" s="43"/>
      <c r="AI75" s="43"/>
      <c r="AJ75" s="43"/>
      <c r="AK75" s="43"/>
      <c r="AL75" s="43"/>
      <c r="AM75" s="43"/>
      <c r="AN75" s="43"/>
      <c r="AO75" s="43"/>
      <c r="AP75" s="43"/>
      <c r="AQ75" s="43"/>
      <c r="AR75" s="53"/>
      <c r="AS75" s="52"/>
      <c r="AT75" s="43"/>
      <c r="AU75" s="43"/>
      <c r="AV75" s="43"/>
      <c r="AW75" s="43"/>
      <c r="AX75" s="43"/>
      <c r="AY75" s="43"/>
      <c r="AZ75" s="43">
        <v>0.88</v>
      </c>
      <c r="BA75" s="43"/>
      <c r="BB75" s="43"/>
      <c r="BC75" s="43"/>
      <c r="BD75" s="43"/>
      <c r="BE75" s="43"/>
      <c r="BF75" s="43"/>
      <c r="BG75" s="43"/>
      <c r="BH75" s="43"/>
      <c r="BI75" s="43"/>
      <c r="BJ75" s="43"/>
      <c r="BK75" s="43"/>
      <c r="BL75" s="43"/>
      <c r="BM75" s="43"/>
      <c r="BN75" s="43"/>
      <c r="BO75" s="43"/>
      <c r="BP75" s="43"/>
      <c r="BQ75" s="43"/>
      <c r="BR75" s="43"/>
      <c r="BS75" s="43"/>
      <c r="BT75" s="43"/>
      <c r="BU75" s="43"/>
      <c r="BV75" s="43"/>
      <c r="BW75" s="53"/>
      <c r="BX75" s="30">
        <f t="shared" si="17"/>
        <v>0</v>
      </c>
      <c r="BY75" s="52"/>
      <c r="BZ75" s="43"/>
      <c r="CA75" s="43"/>
      <c r="CB75" s="43">
        <v>18</v>
      </c>
      <c r="CC75" s="43"/>
      <c r="CD75" s="43"/>
      <c r="CE75" s="43"/>
      <c r="CF75" s="43"/>
      <c r="CG75" s="53"/>
      <c r="CH75" s="52"/>
      <c r="CI75" s="43"/>
      <c r="CJ75" s="43"/>
      <c r="CK75" s="43"/>
      <c r="CL75" s="43"/>
      <c r="CM75" s="43"/>
      <c r="CN75" s="43"/>
      <c r="CO75" s="43"/>
      <c r="CP75" s="43"/>
      <c r="CQ75" s="43"/>
      <c r="CR75" s="43"/>
      <c r="CS75" s="43"/>
      <c r="CT75" s="43"/>
      <c r="CU75" s="43"/>
      <c r="CV75" s="43"/>
      <c r="CW75" s="43"/>
      <c r="CX75" s="43"/>
      <c r="CY75" s="43"/>
      <c r="CZ75" s="7"/>
      <c r="DA75" s="7"/>
      <c r="DB75" s="43">
        <v>0.88</v>
      </c>
      <c r="DC75" s="43"/>
      <c r="DD75" s="53"/>
      <c r="DE75" s="73">
        <f t="shared" si="19"/>
        <v>0</v>
      </c>
      <c r="DG75" s="52"/>
      <c r="DH75" s="43"/>
      <c r="DI75" s="50">
        <f t="shared" si="20"/>
        <v>5990.86</v>
      </c>
      <c r="DK75" s="52"/>
      <c r="DL75" s="43"/>
      <c r="DM75" s="50">
        <f t="shared" si="21"/>
        <v>2629.7799999999997</v>
      </c>
      <c r="DO75" s="52">
        <v>18</v>
      </c>
      <c r="DP75" s="43">
        <v>0.88</v>
      </c>
      <c r="DQ75" s="50">
        <f t="shared" si="22"/>
        <v>7567.7299999999987</v>
      </c>
      <c r="DT75" s="52"/>
      <c r="DU75" s="43"/>
      <c r="DV75" s="50">
        <f t="shared" si="23"/>
        <v>361.19</v>
      </c>
      <c r="DX75" s="52"/>
      <c r="DY75" s="43"/>
      <c r="DZ75" s="53">
        <f t="shared" si="24"/>
        <v>-208.7</v>
      </c>
      <c r="EB75" s="52"/>
      <c r="EC75" s="43"/>
      <c r="ED75" s="53">
        <f t="shared" si="25"/>
        <v>0</v>
      </c>
      <c r="EF75" s="52"/>
      <c r="EG75" s="43"/>
      <c r="EH75" s="53">
        <f t="shared" si="26"/>
        <v>1225</v>
      </c>
      <c r="EJ75" s="65"/>
      <c r="EK75" s="7"/>
      <c r="EL75" s="53">
        <f t="shared" si="27"/>
        <v>100</v>
      </c>
      <c r="EN75" s="51">
        <f t="shared" si="28"/>
        <v>-5786.2699999999904</v>
      </c>
      <c r="EP75" s="60">
        <f t="shared" si="29"/>
        <v>0</v>
      </c>
      <c r="EQ75" s="61">
        <f t="shared" si="30"/>
        <v>0</v>
      </c>
      <c r="ER75" s="15">
        <f t="shared" si="31"/>
        <v>0</v>
      </c>
      <c r="ES75" s="163">
        <f t="shared" si="32"/>
        <v>0</v>
      </c>
      <c r="EU75">
        <v>65</v>
      </c>
    </row>
    <row r="76" spans="1:151" x14ac:dyDescent="0.45">
      <c r="A76" s="67">
        <v>45448</v>
      </c>
      <c r="B76" s="25" t="s">
        <v>773</v>
      </c>
      <c r="C76" s="10" t="s">
        <v>194</v>
      </c>
      <c r="D76" s="7"/>
      <c r="E76" s="43"/>
      <c r="F76" s="43">
        <v>148</v>
      </c>
      <c r="G76" s="16">
        <f t="shared" si="18"/>
        <v>11731.590000000007</v>
      </c>
      <c r="H76" s="64" t="s">
        <v>625</v>
      </c>
      <c r="I76" s="52"/>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53"/>
      <c r="AS76" s="52"/>
      <c r="AT76" s="43"/>
      <c r="AU76" s="43"/>
      <c r="AV76" s="43"/>
      <c r="AW76" s="43"/>
      <c r="AX76" s="43">
        <v>49.33</v>
      </c>
      <c r="AY76" s="43">
        <v>49.33</v>
      </c>
      <c r="AZ76" s="43">
        <v>49.34</v>
      </c>
      <c r="BA76" s="43"/>
      <c r="BB76" s="43"/>
      <c r="BC76" s="43"/>
      <c r="BD76" s="43"/>
      <c r="BE76" s="43"/>
      <c r="BF76" s="43"/>
      <c r="BG76" s="43"/>
      <c r="BH76" s="43"/>
      <c r="BI76" s="43"/>
      <c r="BJ76" s="43"/>
      <c r="BK76" s="43"/>
      <c r="BL76" s="43"/>
      <c r="BM76" s="43"/>
      <c r="BN76" s="43"/>
      <c r="BO76" s="43"/>
      <c r="BP76" s="43"/>
      <c r="BQ76" s="43"/>
      <c r="BR76" s="43"/>
      <c r="BS76" s="43"/>
      <c r="BT76" s="43"/>
      <c r="BU76" s="43"/>
      <c r="BV76" s="43"/>
      <c r="BW76" s="53"/>
      <c r="BX76" s="30">
        <f t="shared" si="17"/>
        <v>0</v>
      </c>
      <c r="BY76" s="52"/>
      <c r="BZ76" s="43"/>
      <c r="CA76" s="43"/>
      <c r="CB76" s="43"/>
      <c r="CC76" s="43"/>
      <c r="CD76" s="43"/>
      <c r="CE76" s="43"/>
      <c r="CF76" s="43"/>
      <c r="CG76" s="53"/>
      <c r="CH76" s="52"/>
      <c r="CI76" s="43"/>
      <c r="CJ76" s="43"/>
      <c r="CK76" s="43">
        <v>148</v>
      </c>
      <c r="CL76" s="43"/>
      <c r="CM76" s="43"/>
      <c r="CN76" s="43"/>
      <c r="CO76" s="43"/>
      <c r="CP76" s="43"/>
      <c r="CQ76" s="43"/>
      <c r="CR76" s="43"/>
      <c r="CS76" s="43"/>
      <c r="CT76" s="43"/>
      <c r="CU76" s="43"/>
      <c r="CV76" s="43"/>
      <c r="CW76" s="43"/>
      <c r="CX76" s="43"/>
      <c r="CY76" s="43"/>
      <c r="CZ76" s="7"/>
      <c r="DA76" s="7"/>
      <c r="DB76" s="43"/>
      <c r="DC76" s="43"/>
      <c r="DD76" s="53"/>
      <c r="DE76" s="73">
        <f t="shared" si="19"/>
        <v>0</v>
      </c>
      <c r="DG76" s="52"/>
      <c r="DH76" s="43">
        <v>49.33</v>
      </c>
      <c r="DI76" s="50">
        <f t="shared" si="20"/>
        <v>5941.53</v>
      </c>
      <c r="DK76" s="52"/>
      <c r="DL76" s="43">
        <v>49.33</v>
      </c>
      <c r="DM76" s="50">
        <f t="shared" si="21"/>
        <v>2580.4499999999998</v>
      </c>
      <c r="DO76" s="52"/>
      <c r="DP76" s="43">
        <v>49.34</v>
      </c>
      <c r="DQ76" s="50">
        <f t="shared" si="22"/>
        <v>7518.3899999999985</v>
      </c>
      <c r="DT76" s="52"/>
      <c r="DU76" s="43"/>
      <c r="DV76" s="50">
        <f t="shared" si="23"/>
        <v>361.19</v>
      </c>
      <c r="DX76" s="52"/>
      <c r="DY76" s="43"/>
      <c r="DZ76" s="53">
        <f t="shared" si="24"/>
        <v>-208.7</v>
      </c>
      <c r="EB76" s="52"/>
      <c r="EC76" s="43"/>
      <c r="ED76" s="53">
        <f t="shared" si="25"/>
        <v>0</v>
      </c>
      <c r="EF76" s="52"/>
      <c r="EG76" s="43"/>
      <c r="EH76" s="53">
        <f t="shared" si="26"/>
        <v>1225</v>
      </c>
      <c r="EJ76" s="65"/>
      <c r="EK76" s="7"/>
      <c r="EL76" s="53">
        <f t="shared" si="27"/>
        <v>100</v>
      </c>
      <c r="EN76" s="51">
        <f t="shared" si="28"/>
        <v>-5786.2699999999904</v>
      </c>
      <c r="EP76" s="60">
        <f t="shared" si="29"/>
        <v>0</v>
      </c>
      <c r="EQ76" s="61">
        <f t="shared" si="30"/>
        <v>0</v>
      </c>
      <c r="ER76" s="15">
        <f t="shared" si="31"/>
        <v>0</v>
      </c>
      <c r="ES76" s="62">
        <f t="shared" si="32"/>
        <v>0</v>
      </c>
      <c r="EU76" s="6">
        <v>66</v>
      </c>
    </row>
    <row r="77" spans="1:151" x14ac:dyDescent="0.45">
      <c r="A77" s="67">
        <v>45448</v>
      </c>
      <c r="B77" s="25" t="s">
        <v>746</v>
      </c>
      <c r="C77" s="10" t="s">
        <v>694</v>
      </c>
      <c r="D77" s="7"/>
      <c r="E77" s="43">
        <v>20</v>
      </c>
      <c r="F77" s="43">
        <f>0.36+0.39</f>
        <v>0.75</v>
      </c>
      <c r="G77" s="16">
        <f t="shared" si="18"/>
        <v>11750.840000000007</v>
      </c>
      <c r="H77" s="64" t="s">
        <v>625</v>
      </c>
      <c r="I77" s="52"/>
      <c r="J77" s="43"/>
      <c r="K77" s="43"/>
      <c r="L77" s="43"/>
      <c r="M77" s="43"/>
      <c r="N77" s="43"/>
      <c r="O77" s="43"/>
      <c r="P77" s="43"/>
      <c r="Q77" s="43"/>
      <c r="R77" s="43"/>
      <c r="S77" s="43"/>
      <c r="T77" s="43"/>
      <c r="U77" s="43"/>
      <c r="V77" s="43"/>
      <c r="W77" s="43"/>
      <c r="X77" s="43"/>
      <c r="Y77" s="43"/>
      <c r="Z77" s="43">
        <v>20</v>
      </c>
      <c r="AA77" s="43"/>
      <c r="AB77" s="43"/>
      <c r="AC77" s="43"/>
      <c r="AD77" s="43"/>
      <c r="AE77" s="43"/>
      <c r="AF77" s="43"/>
      <c r="AG77" s="43"/>
      <c r="AH77" s="43"/>
      <c r="AI77" s="43"/>
      <c r="AJ77" s="43"/>
      <c r="AK77" s="43"/>
      <c r="AL77" s="43"/>
      <c r="AM77" s="43"/>
      <c r="AN77" s="43"/>
      <c r="AO77" s="43"/>
      <c r="AP77" s="43"/>
      <c r="AQ77" s="43"/>
      <c r="AR77" s="53"/>
      <c r="AS77" s="52"/>
      <c r="AT77" s="43"/>
      <c r="AU77" s="43"/>
      <c r="AV77" s="43"/>
      <c r="AW77" s="43"/>
      <c r="AX77" s="43"/>
      <c r="AY77" s="43"/>
      <c r="AZ77" s="43">
        <v>0.75</v>
      </c>
      <c r="BA77" s="43"/>
      <c r="BB77" s="43"/>
      <c r="BC77" s="43"/>
      <c r="BD77" s="43"/>
      <c r="BE77" s="43"/>
      <c r="BF77" s="43"/>
      <c r="BG77" s="43"/>
      <c r="BH77" s="43"/>
      <c r="BI77" s="43"/>
      <c r="BJ77" s="43"/>
      <c r="BK77" s="43"/>
      <c r="BL77" s="43"/>
      <c r="BM77" s="43"/>
      <c r="BN77" s="43"/>
      <c r="BO77" s="43"/>
      <c r="BP77" s="43"/>
      <c r="BQ77" s="43"/>
      <c r="BR77" s="43"/>
      <c r="BS77" s="43"/>
      <c r="BT77" s="43"/>
      <c r="BU77" s="43"/>
      <c r="BV77" s="43"/>
      <c r="BW77" s="53"/>
      <c r="BX77" s="30">
        <f t="shared" si="17"/>
        <v>0</v>
      </c>
      <c r="BY77" s="52"/>
      <c r="BZ77" s="43">
        <v>20</v>
      </c>
      <c r="CA77" s="43"/>
      <c r="CB77" s="43"/>
      <c r="CC77" s="43"/>
      <c r="CD77" s="43"/>
      <c r="CE77" s="43"/>
      <c r="CF77" s="43"/>
      <c r="CG77" s="53"/>
      <c r="CH77" s="52"/>
      <c r="CI77" s="43"/>
      <c r="CJ77" s="43"/>
      <c r="CK77" s="43"/>
      <c r="CL77" s="43"/>
      <c r="CM77" s="43"/>
      <c r="CN77" s="43"/>
      <c r="CO77" s="43"/>
      <c r="CP77" s="43"/>
      <c r="CQ77" s="43"/>
      <c r="CR77" s="43"/>
      <c r="CS77" s="43"/>
      <c r="CT77" s="43"/>
      <c r="CU77" s="43"/>
      <c r="CV77" s="43"/>
      <c r="CW77" s="43"/>
      <c r="CX77" s="43"/>
      <c r="CY77" s="43"/>
      <c r="CZ77" s="7"/>
      <c r="DA77" s="7"/>
      <c r="DB77" s="43">
        <v>0.75</v>
      </c>
      <c r="DC77" s="43"/>
      <c r="DD77" s="53"/>
      <c r="DE77" s="73">
        <f t="shared" si="19"/>
        <v>0</v>
      </c>
      <c r="DG77" s="52"/>
      <c r="DH77" s="43"/>
      <c r="DI77" s="50">
        <f t="shared" si="20"/>
        <v>5941.53</v>
      </c>
      <c r="DK77" s="52"/>
      <c r="DL77" s="43"/>
      <c r="DM77" s="50">
        <f t="shared" si="21"/>
        <v>2580.4499999999998</v>
      </c>
      <c r="DO77" s="52">
        <v>20</v>
      </c>
      <c r="DP77" s="43">
        <v>0.75</v>
      </c>
      <c r="DQ77" s="50">
        <f t="shared" si="22"/>
        <v>7537.6399999999985</v>
      </c>
      <c r="DT77" s="52"/>
      <c r="DU77" s="43"/>
      <c r="DV77" s="50">
        <f t="shared" si="23"/>
        <v>361.19</v>
      </c>
      <c r="DX77" s="52"/>
      <c r="DY77" s="43"/>
      <c r="DZ77" s="53">
        <f t="shared" si="24"/>
        <v>-208.7</v>
      </c>
      <c r="EB77" s="52"/>
      <c r="EC77" s="43"/>
      <c r="ED77" s="53">
        <f t="shared" si="25"/>
        <v>0</v>
      </c>
      <c r="EF77" s="52"/>
      <c r="EG77" s="43"/>
      <c r="EH77" s="53">
        <f t="shared" si="26"/>
        <v>1225</v>
      </c>
      <c r="EJ77" s="65"/>
      <c r="EK77" s="7"/>
      <c r="EL77" s="53">
        <f t="shared" si="27"/>
        <v>100</v>
      </c>
      <c r="EN77" s="51">
        <f t="shared" si="28"/>
        <v>-5786.2699999999904</v>
      </c>
      <c r="EP77" s="60">
        <f t="shared" si="29"/>
        <v>0</v>
      </c>
      <c r="EQ77" s="61">
        <f t="shared" si="30"/>
        <v>0</v>
      </c>
      <c r="ER77" s="15">
        <f t="shared" si="31"/>
        <v>0</v>
      </c>
      <c r="ES77" s="163">
        <f t="shared" si="32"/>
        <v>0</v>
      </c>
      <c r="EU77">
        <v>67</v>
      </c>
    </row>
    <row r="78" spans="1:151" x14ac:dyDescent="0.45">
      <c r="A78" s="67">
        <v>45449</v>
      </c>
      <c r="B78" s="25" t="s">
        <v>780</v>
      </c>
      <c r="C78" s="10" t="s">
        <v>185</v>
      </c>
      <c r="D78" s="7"/>
      <c r="E78" s="43"/>
      <c r="F78" s="43">
        <v>883.95</v>
      </c>
      <c r="G78" s="16">
        <f t="shared" si="18"/>
        <v>10866.890000000007</v>
      </c>
      <c r="H78" s="64" t="s">
        <v>625</v>
      </c>
      <c r="I78" s="52"/>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53"/>
      <c r="AS78" s="52"/>
      <c r="AT78" s="43"/>
      <c r="AU78" s="43"/>
      <c r="AV78" s="43"/>
      <c r="AW78" s="43"/>
      <c r="AX78" s="43">
        <v>294.64999999999998</v>
      </c>
      <c r="AY78" s="43">
        <v>294.64999999999998</v>
      </c>
      <c r="AZ78" s="43">
        <v>294.64999999999998</v>
      </c>
      <c r="BA78" s="43"/>
      <c r="BB78" s="43"/>
      <c r="BC78" s="43"/>
      <c r="BD78" s="43"/>
      <c r="BE78" s="43"/>
      <c r="BF78" s="43"/>
      <c r="BG78" s="43"/>
      <c r="BH78" s="43"/>
      <c r="BI78" s="43"/>
      <c r="BJ78" s="43"/>
      <c r="BK78" s="43"/>
      <c r="BL78" s="43"/>
      <c r="BM78" s="43"/>
      <c r="BN78" s="43"/>
      <c r="BO78" s="43"/>
      <c r="BP78" s="43"/>
      <c r="BQ78" s="43"/>
      <c r="BR78" s="43"/>
      <c r="BS78" s="43"/>
      <c r="BT78" s="43"/>
      <c r="BU78" s="43"/>
      <c r="BV78" s="43"/>
      <c r="BW78" s="53"/>
      <c r="BX78" s="30">
        <f t="shared" si="17"/>
        <v>0</v>
      </c>
      <c r="BY78" s="52"/>
      <c r="BZ78" s="43"/>
      <c r="CA78" s="43"/>
      <c r="CB78" s="43"/>
      <c r="CC78" s="43"/>
      <c r="CD78" s="43"/>
      <c r="CE78" s="43"/>
      <c r="CF78" s="43"/>
      <c r="CG78" s="53"/>
      <c r="CH78" s="52"/>
      <c r="CI78" s="43"/>
      <c r="CJ78" s="43"/>
      <c r="CK78" s="43"/>
      <c r="CL78" s="43">
        <v>883.95</v>
      </c>
      <c r="CM78" s="43"/>
      <c r="CN78" s="43"/>
      <c r="CO78" s="43"/>
      <c r="CP78" s="43"/>
      <c r="CQ78" s="43"/>
      <c r="CR78" s="43"/>
      <c r="CS78" s="43"/>
      <c r="CT78" s="43"/>
      <c r="CU78" s="43"/>
      <c r="CV78" s="43"/>
      <c r="CW78" s="43"/>
      <c r="CX78" s="43"/>
      <c r="CY78" s="43"/>
      <c r="CZ78" s="7"/>
      <c r="DA78" s="7"/>
      <c r="DB78" s="43"/>
      <c r="DC78" s="43"/>
      <c r="DD78" s="53"/>
      <c r="DE78" s="73">
        <f t="shared" si="19"/>
        <v>0</v>
      </c>
      <c r="DG78" s="52"/>
      <c r="DH78" s="43">
        <v>294.64999999999998</v>
      </c>
      <c r="DI78" s="50">
        <f t="shared" si="20"/>
        <v>5646.88</v>
      </c>
      <c r="DK78" s="52"/>
      <c r="DL78" s="43">
        <v>294.64999999999998</v>
      </c>
      <c r="DM78" s="50">
        <f t="shared" si="21"/>
        <v>2285.7999999999997</v>
      </c>
      <c r="DO78" s="52"/>
      <c r="DP78" s="43">
        <f>883.95/3</f>
        <v>294.65000000000003</v>
      </c>
      <c r="DQ78" s="50">
        <f t="shared" si="22"/>
        <v>7242.9899999999989</v>
      </c>
      <c r="DT78" s="52"/>
      <c r="DU78" s="43"/>
      <c r="DV78" s="50">
        <f t="shared" si="23"/>
        <v>361.19</v>
      </c>
      <c r="DX78" s="52"/>
      <c r="DY78" s="43"/>
      <c r="DZ78" s="53">
        <f t="shared" si="24"/>
        <v>-208.7</v>
      </c>
      <c r="EB78" s="52"/>
      <c r="EC78" s="43"/>
      <c r="ED78" s="53">
        <f t="shared" si="25"/>
        <v>0</v>
      </c>
      <c r="EF78" s="52"/>
      <c r="EG78" s="43"/>
      <c r="EH78" s="53">
        <f t="shared" si="26"/>
        <v>1225</v>
      </c>
      <c r="EJ78" s="65"/>
      <c r="EK78" s="7"/>
      <c r="EL78" s="53">
        <f t="shared" si="27"/>
        <v>100</v>
      </c>
      <c r="EN78" s="51">
        <f t="shared" si="28"/>
        <v>-5786.2699999999913</v>
      </c>
      <c r="EP78" s="60">
        <f t="shared" si="29"/>
        <v>0</v>
      </c>
      <c r="EQ78" s="61">
        <f t="shared" si="30"/>
        <v>0</v>
      </c>
      <c r="ER78" s="15">
        <f t="shared" si="31"/>
        <v>5.6843418860808015E-14</v>
      </c>
      <c r="ES78" s="62">
        <f t="shared" si="32"/>
        <v>0</v>
      </c>
      <c r="ET78" t="s">
        <v>1005</v>
      </c>
      <c r="EU78" s="6">
        <v>68</v>
      </c>
    </row>
    <row r="79" spans="1:151" x14ac:dyDescent="0.45">
      <c r="A79" s="67">
        <v>45449</v>
      </c>
      <c r="B79" s="25" t="s">
        <v>779</v>
      </c>
      <c r="C79" s="10" t="s">
        <v>695</v>
      </c>
      <c r="D79" s="7"/>
      <c r="E79" s="43">
        <v>49</v>
      </c>
      <c r="F79" s="43">
        <f>1.17+0.96</f>
        <v>2.13</v>
      </c>
      <c r="G79" s="16">
        <f t="shared" si="18"/>
        <v>10913.760000000007</v>
      </c>
      <c r="H79" s="64" t="s">
        <v>625</v>
      </c>
      <c r="I79" s="52"/>
      <c r="J79" s="43"/>
      <c r="K79" s="43"/>
      <c r="L79" s="43"/>
      <c r="M79" s="43"/>
      <c r="N79" s="43"/>
      <c r="O79" s="43"/>
      <c r="P79" s="43"/>
      <c r="Q79" s="43"/>
      <c r="R79" s="43"/>
      <c r="S79" s="43"/>
      <c r="T79" s="43"/>
      <c r="U79" s="43"/>
      <c r="V79" s="43"/>
      <c r="W79" s="43"/>
      <c r="X79" s="43"/>
      <c r="Y79" s="43"/>
      <c r="Z79" s="43">
        <v>49</v>
      </c>
      <c r="AA79" s="43"/>
      <c r="AB79" s="43"/>
      <c r="AC79" s="43"/>
      <c r="AD79" s="43"/>
      <c r="AE79" s="43"/>
      <c r="AF79" s="43"/>
      <c r="AG79" s="43"/>
      <c r="AH79" s="43"/>
      <c r="AI79" s="43"/>
      <c r="AJ79" s="43"/>
      <c r="AK79" s="43"/>
      <c r="AL79" s="43"/>
      <c r="AM79" s="43"/>
      <c r="AN79" s="43"/>
      <c r="AO79" s="43"/>
      <c r="AP79" s="43"/>
      <c r="AQ79" s="43"/>
      <c r="AR79" s="53"/>
      <c r="AS79" s="52"/>
      <c r="AT79" s="43"/>
      <c r="AU79" s="43"/>
      <c r="AV79" s="43"/>
      <c r="AW79" s="43"/>
      <c r="AX79" s="43"/>
      <c r="AY79" s="43"/>
      <c r="AZ79" s="43">
        <v>2.13</v>
      </c>
      <c r="BA79" s="43"/>
      <c r="BB79" s="43"/>
      <c r="BC79" s="43"/>
      <c r="BD79" s="43"/>
      <c r="BE79" s="43"/>
      <c r="BF79" s="43"/>
      <c r="BG79" s="43"/>
      <c r="BH79" s="43"/>
      <c r="BI79" s="43"/>
      <c r="BJ79" s="43"/>
      <c r="BK79" s="43"/>
      <c r="BL79" s="43"/>
      <c r="BM79" s="43"/>
      <c r="BN79" s="43"/>
      <c r="BO79" s="43"/>
      <c r="BP79" s="43"/>
      <c r="BQ79" s="43"/>
      <c r="BR79" s="43"/>
      <c r="BS79" s="43"/>
      <c r="BT79" s="43"/>
      <c r="BU79" s="43"/>
      <c r="BV79" s="43"/>
      <c r="BW79" s="53"/>
      <c r="BX79" s="30">
        <f t="shared" si="17"/>
        <v>0</v>
      </c>
      <c r="BY79" s="52"/>
      <c r="BZ79" s="43">
        <v>40</v>
      </c>
      <c r="CA79" s="43">
        <v>9</v>
      </c>
      <c r="CB79" s="43"/>
      <c r="CC79" s="43"/>
      <c r="CD79" s="43"/>
      <c r="CE79" s="43"/>
      <c r="CF79" s="43"/>
      <c r="CG79" s="53"/>
      <c r="CH79" s="52"/>
      <c r="CI79" s="43"/>
      <c r="CJ79" s="43"/>
      <c r="CK79" s="43"/>
      <c r="CL79" s="43"/>
      <c r="CM79" s="43"/>
      <c r="CN79" s="43"/>
      <c r="CO79" s="43"/>
      <c r="CP79" s="43"/>
      <c r="CQ79" s="43"/>
      <c r="CR79" s="43"/>
      <c r="CS79" s="43"/>
      <c r="CT79" s="43"/>
      <c r="CU79" s="43"/>
      <c r="CV79" s="43"/>
      <c r="CW79" s="43"/>
      <c r="CX79" s="43"/>
      <c r="CY79" s="43"/>
      <c r="CZ79" s="7"/>
      <c r="DA79" s="7"/>
      <c r="DB79" s="43">
        <v>2.13</v>
      </c>
      <c r="DC79" s="43"/>
      <c r="DD79" s="53"/>
      <c r="DE79" s="73">
        <f t="shared" si="19"/>
        <v>0</v>
      </c>
      <c r="DG79" s="52"/>
      <c r="DH79" s="43"/>
      <c r="DI79" s="50">
        <f t="shared" si="20"/>
        <v>5646.88</v>
      </c>
      <c r="DK79" s="52"/>
      <c r="DL79" s="43"/>
      <c r="DM79" s="50">
        <f t="shared" si="21"/>
        <v>2285.7999999999997</v>
      </c>
      <c r="DO79" s="52">
        <v>49</v>
      </c>
      <c r="DP79" s="43">
        <v>2.13</v>
      </c>
      <c r="DQ79" s="50">
        <f t="shared" si="22"/>
        <v>7289.8599999999988</v>
      </c>
      <c r="DT79" s="52"/>
      <c r="DU79" s="43"/>
      <c r="DV79" s="50">
        <f t="shared" si="23"/>
        <v>361.19</v>
      </c>
      <c r="DX79" s="52"/>
      <c r="DY79" s="43"/>
      <c r="DZ79" s="53">
        <f t="shared" si="24"/>
        <v>-208.7</v>
      </c>
      <c r="EB79" s="52"/>
      <c r="EC79" s="43"/>
      <c r="ED79" s="53">
        <f t="shared" si="25"/>
        <v>0</v>
      </c>
      <c r="EF79" s="52"/>
      <c r="EG79" s="43"/>
      <c r="EH79" s="53">
        <f t="shared" si="26"/>
        <v>1225</v>
      </c>
      <c r="EJ79" s="65"/>
      <c r="EK79" s="7"/>
      <c r="EL79" s="53">
        <f t="shared" si="27"/>
        <v>100</v>
      </c>
      <c r="EN79" s="51">
        <f t="shared" si="28"/>
        <v>-5786.2699999999913</v>
      </c>
      <c r="EP79" s="60">
        <f t="shared" si="29"/>
        <v>0</v>
      </c>
      <c r="EQ79" s="61">
        <f t="shared" si="30"/>
        <v>0</v>
      </c>
      <c r="ER79" s="15">
        <f t="shared" si="31"/>
        <v>0</v>
      </c>
      <c r="ES79" s="163">
        <f t="shared" si="32"/>
        <v>0</v>
      </c>
      <c r="EU79">
        <v>69</v>
      </c>
    </row>
    <row r="80" spans="1:151" x14ac:dyDescent="0.45">
      <c r="A80" s="67">
        <v>45450</v>
      </c>
      <c r="B80" s="25" t="s">
        <v>778</v>
      </c>
      <c r="C80" s="10" t="s">
        <v>777</v>
      </c>
      <c r="D80" s="7"/>
      <c r="E80" s="43">
        <v>9</v>
      </c>
      <c r="F80" s="43">
        <v>0.44</v>
      </c>
      <c r="G80" s="16">
        <f t="shared" si="18"/>
        <v>10922.320000000007</v>
      </c>
      <c r="H80" s="64" t="s">
        <v>625</v>
      </c>
      <c r="I80" s="52"/>
      <c r="J80" s="43"/>
      <c r="K80" s="43"/>
      <c r="L80" s="43"/>
      <c r="M80" s="43"/>
      <c r="N80" s="43"/>
      <c r="O80" s="43"/>
      <c r="P80" s="43"/>
      <c r="Q80" s="43"/>
      <c r="R80" s="43"/>
      <c r="S80" s="43"/>
      <c r="T80" s="43"/>
      <c r="U80" s="43"/>
      <c r="V80" s="43"/>
      <c r="W80" s="43"/>
      <c r="X80" s="43"/>
      <c r="Y80" s="43"/>
      <c r="Z80" s="43">
        <v>9</v>
      </c>
      <c r="AA80" s="43"/>
      <c r="AB80" s="43"/>
      <c r="AC80" s="43"/>
      <c r="AD80" s="43"/>
      <c r="AE80" s="43"/>
      <c r="AF80" s="43"/>
      <c r="AG80" s="43"/>
      <c r="AH80" s="43"/>
      <c r="AI80" s="43"/>
      <c r="AJ80" s="43"/>
      <c r="AK80" s="43"/>
      <c r="AL80" s="43"/>
      <c r="AM80" s="43"/>
      <c r="AN80" s="43"/>
      <c r="AO80" s="43"/>
      <c r="AP80" s="43"/>
      <c r="AQ80" s="43"/>
      <c r="AR80" s="53"/>
      <c r="AS80" s="52"/>
      <c r="AT80" s="43"/>
      <c r="AU80" s="43"/>
      <c r="AV80" s="43"/>
      <c r="AW80" s="43"/>
      <c r="AX80" s="43"/>
      <c r="AY80" s="43"/>
      <c r="AZ80" s="43">
        <v>0.44</v>
      </c>
      <c r="BA80" s="43"/>
      <c r="BB80" s="43"/>
      <c r="BC80" s="43"/>
      <c r="BD80" s="43"/>
      <c r="BE80" s="43"/>
      <c r="BF80" s="43"/>
      <c r="BG80" s="43"/>
      <c r="BH80" s="43"/>
      <c r="BI80" s="43"/>
      <c r="BJ80" s="43"/>
      <c r="BK80" s="43"/>
      <c r="BL80" s="43"/>
      <c r="BM80" s="43"/>
      <c r="BN80" s="43"/>
      <c r="BO80" s="43"/>
      <c r="BP80" s="43"/>
      <c r="BQ80" s="43"/>
      <c r="BR80" s="43"/>
      <c r="BS80" s="43"/>
      <c r="BT80" s="43"/>
      <c r="BU80" s="43"/>
      <c r="BV80" s="43"/>
      <c r="BW80" s="53"/>
      <c r="BX80" s="30">
        <f t="shared" si="17"/>
        <v>0</v>
      </c>
      <c r="BY80" s="52"/>
      <c r="BZ80" s="43"/>
      <c r="CA80" s="43"/>
      <c r="CB80" s="43">
        <v>9</v>
      </c>
      <c r="CC80" s="43"/>
      <c r="CD80" s="43"/>
      <c r="CE80" s="43"/>
      <c r="CF80" s="43"/>
      <c r="CG80" s="53"/>
      <c r="CH80" s="52"/>
      <c r="CI80" s="43"/>
      <c r="CJ80" s="43"/>
      <c r="CK80" s="43"/>
      <c r="CL80" s="43"/>
      <c r="CM80" s="43"/>
      <c r="CN80" s="43"/>
      <c r="CO80" s="43"/>
      <c r="CP80" s="43"/>
      <c r="CQ80" s="43"/>
      <c r="CR80" s="43"/>
      <c r="CS80" s="43"/>
      <c r="CT80" s="43"/>
      <c r="CU80" s="43"/>
      <c r="CV80" s="43"/>
      <c r="CW80" s="43"/>
      <c r="CX80" s="43"/>
      <c r="CY80" s="43"/>
      <c r="CZ80" s="7"/>
      <c r="DA80" s="7"/>
      <c r="DB80" s="43">
        <v>0.44</v>
      </c>
      <c r="DC80" s="43"/>
      <c r="DD80" s="53"/>
      <c r="DE80" s="73">
        <f t="shared" si="19"/>
        <v>0</v>
      </c>
      <c r="DG80" s="52"/>
      <c r="DH80" s="43"/>
      <c r="DI80" s="50">
        <f t="shared" si="20"/>
        <v>5646.88</v>
      </c>
      <c r="DK80" s="52"/>
      <c r="DL80" s="43"/>
      <c r="DM80" s="50">
        <f t="shared" si="21"/>
        <v>2285.7999999999997</v>
      </c>
      <c r="DO80" s="52">
        <v>9</v>
      </c>
      <c r="DP80" s="43">
        <v>0.44</v>
      </c>
      <c r="DQ80" s="50">
        <f t="shared" si="22"/>
        <v>7298.4199999999992</v>
      </c>
      <c r="DT80" s="52"/>
      <c r="DU80" s="43"/>
      <c r="DV80" s="50">
        <f t="shared" si="23"/>
        <v>361.19</v>
      </c>
      <c r="DX80" s="52"/>
      <c r="DY80" s="43"/>
      <c r="DZ80" s="53">
        <f t="shared" si="24"/>
        <v>-208.7</v>
      </c>
      <c r="EB80" s="52"/>
      <c r="EC80" s="43"/>
      <c r="ED80" s="53">
        <f t="shared" si="25"/>
        <v>0</v>
      </c>
      <c r="EF80" s="52"/>
      <c r="EG80" s="43"/>
      <c r="EH80" s="53">
        <f t="shared" si="26"/>
        <v>1225</v>
      </c>
      <c r="EJ80" s="65"/>
      <c r="EK80" s="7"/>
      <c r="EL80" s="53">
        <f t="shared" si="27"/>
        <v>100</v>
      </c>
      <c r="EN80" s="51">
        <f t="shared" si="28"/>
        <v>-5786.2699999999913</v>
      </c>
      <c r="EP80" s="60">
        <f t="shared" si="29"/>
        <v>0</v>
      </c>
      <c r="EQ80" s="61">
        <f t="shared" si="30"/>
        <v>0</v>
      </c>
      <c r="ER80" s="15">
        <f t="shared" si="31"/>
        <v>0</v>
      </c>
      <c r="ES80" s="62">
        <f t="shared" si="32"/>
        <v>0</v>
      </c>
      <c r="EU80" s="6">
        <v>70</v>
      </c>
    </row>
    <row r="81" spans="1:151" x14ac:dyDescent="0.45">
      <c r="A81" s="67">
        <v>45453</v>
      </c>
      <c r="B81" s="25" t="s">
        <v>774</v>
      </c>
      <c r="C81" s="10" t="s">
        <v>633</v>
      </c>
      <c r="D81" s="7"/>
      <c r="E81" s="43">
        <v>50</v>
      </c>
      <c r="F81" s="43"/>
      <c r="G81" s="16">
        <f t="shared" si="18"/>
        <v>10972.320000000007</v>
      </c>
      <c r="H81" s="64" t="s">
        <v>625</v>
      </c>
      <c r="I81" s="52"/>
      <c r="J81" s="43"/>
      <c r="K81" s="43"/>
      <c r="L81" s="43"/>
      <c r="M81" s="43"/>
      <c r="N81" s="43"/>
      <c r="O81" s="43"/>
      <c r="P81" s="43"/>
      <c r="Q81" s="43"/>
      <c r="R81" s="43"/>
      <c r="S81" s="43"/>
      <c r="T81" s="43"/>
      <c r="U81" s="43"/>
      <c r="V81" s="43"/>
      <c r="W81" s="43"/>
      <c r="X81" s="43"/>
      <c r="Y81" s="43"/>
      <c r="Z81" s="43"/>
      <c r="AA81" s="43"/>
      <c r="AB81" s="43">
        <v>50</v>
      </c>
      <c r="AC81" s="43"/>
      <c r="AD81" s="43"/>
      <c r="AE81" s="43"/>
      <c r="AF81" s="43"/>
      <c r="AG81" s="43"/>
      <c r="AH81" s="43"/>
      <c r="AI81" s="43"/>
      <c r="AJ81" s="43"/>
      <c r="AK81" s="43"/>
      <c r="AL81" s="43"/>
      <c r="AM81" s="43"/>
      <c r="AN81" s="43"/>
      <c r="AO81" s="43"/>
      <c r="AP81" s="43"/>
      <c r="AQ81" s="43"/>
      <c r="AR81" s="53"/>
      <c r="AS81" s="52"/>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53"/>
      <c r="BX81" s="30">
        <f t="shared" si="17"/>
        <v>0</v>
      </c>
      <c r="BY81" s="52"/>
      <c r="BZ81" s="43"/>
      <c r="CA81" s="43"/>
      <c r="CB81" s="43"/>
      <c r="CC81" s="43"/>
      <c r="CD81" s="43"/>
      <c r="CE81" s="43"/>
      <c r="CF81" s="43"/>
      <c r="CG81" s="53">
        <v>50</v>
      </c>
      <c r="CH81" s="52"/>
      <c r="CI81" s="43"/>
      <c r="CJ81" s="43"/>
      <c r="CK81" s="43"/>
      <c r="CL81" s="43"/>
      <c r="CM81" s="43"/>
      <c r="CN81" s="43"/>
      <c r="CO81" s="43"/>
      <c r="CP81" s="43"/>
      <c r="CQ81" s="43"/>
      <c r="CR81" s="43"/>
      <c r="CS81" s="43"/>
      <c r="CT81" s="43"/>
      <c r="CU81" s="43"/>
      <c r="CV81" s="43"/>
      <c r="CW81" s="43"/>
      <c r="CX81" s="43"/>
      <c r="CY81" s="43"/>
      <c r="CZ81" s="7"/>
      <c r="DA81" s="7"/>
      <c r="DB81" s="43"/>
      <c r="DC81" s="43"/>
      <c r="DD81" s="53"/>
      <c r="DE81" s="73">
        <f t="shared" si="19"/>
        <v>0</v>
      </c>
      <c r="DG81" s="52"/>
      <c r="DH81" s="43"/>
      <c r="DI81" s="50">
        <f t="shared" si="20"/>
        <v>5646.88</v>
      </c>
      <c r="DK81" s="52"/>
      <c r="DL81" s="43"/>
      <c r="DM81" s="50">
        <f t="shared" si="21"/>
        <v>2285.7999999999997</v>
      </c>
      <c r="DO81" s="52"/>
      <c r="DP81" s="43"/>
      <c r="DQ81" s="50">
        <f t="shared" si="22"/>
        <v>7298.4199999999992</v>
      </c>
      <c r="DT81" s="52"/>
      <c r="DU81" s="43"/>
      <c r="DV81" s="50">
        <f t="shared" si="23"/>
        <v>361.19</v>
      </c>
      <c r="DX81" s="52">
        <v>50</v>
      </c>
      <c r="DY81" s="43"/>
      <c r="DZ81" s="53">
        <f t="shared" si="24"/>
        <v>-158.69999999999999</v>
      </c>
      <c r="EB81" s="52"/>
      <c r="EC81" s="43"/>
      <c r="ED81" s="53">
        <f t="shared" si="25"/>
        <v>0</v>
      </c>
      <c r="EF81" s="52"/>
      <c r="EG81" s="43"/>
      <c r="EH81" s="53">
        <f t="shared" si="26"/>
        <v>1225</v>
      </c>
      <c r="EJ81" s="65"/>
      <c r="EK81" s="7"/>
      <c r="EL81" s="53">
        <f t="shared" si="27"/>
        <v>100</v>
      </c>
      <c r="EN81" s="51">
        <f t="shared" si="28"/>
        <v>-5786.2699999999913</v>
      </c>
      <c r="EP81" s="60">
        <f t="shared" si="29"/>
        <v>0</v>
      </c>
      <c r="EQ81" s="61">
        <f t="shared" si="30"/>
        <v>0</v>
      </c>
      <c r="ER81" s="15">
        <f t="shared" si="31"/>
        <v>0</v>
      </c>
      <c r="ES81" s="163">
        <f t="shared" si="32"/>
        <v>0</v>
      </c>
      <c r="EU81">
        <v>71</v>
      </c>
    </row>
    <row r="82" spans="1:151" x14ac:dyDescent="0.45">
      <c r="A82" s="67">
        <v>45453</v>
      </c>
      <c r="B82" s="25" t="s">
        <v>785</v>
      </c>
      <c r="C82" s="10" t="s">
        <v>782</v>
      </c>
      <c r="D82" s="7"/>
      <c r="E82" s="43">
        <v>10</v>
      </c>
      <c r="F82" s="43">
        <f>0.28+0.2</f>
        <v>0.48000000000000004</v>
      </c>
      <c r="G82" s="16">
        <f t="shared" si="18"/>
        <v>10981.840000000007</v>
      </c>
      <c r="H82" s="64" t="s">
        <v>625</v>
      </c>
      <c r="I82" s="52"/>
      <c r="J82" s="43"/>
      <c r="K82" s="43"/>
      <c r="L82" s="43"/>
      <c r="M82" s="43"/>
      <c r="N82" s="43"/>
      <c r="O82" s="43"/>
      <c r="P82" s="43"/>
      <c r="Q82" s="43"/>
      <c r="R82" s="43"/>
      <c r="S82" s="43"/>
      <c r="T82" s="43"/>
      <c r="U82" s="43"/>
      <c r="V82" s="43"/>
      <c r="W82" s="43"/>
      <c r="X82" s="43"/>
      <c r="Y82" s="43"/>
      <c r="Z82" s="43">
        <v>10</v>
      </c>
      <c r="AA82" s="43"/>
      <c r="AB82" s="43"/>
      <c r="AC82" s="43"/>
      <c r="AD82" s="43"/>
      <c r="AE82" s="43"/>
      <c r="AF82" s="43"/>
      <c r="AG82" s="43"/>
      <c r="AH82" s="43"/>
      <c r="AI82" s="43"/>
      <c r="AJ82" s="43"/>
      <c r="AK82" s="43"/>
      <c r="AL82" s="43"/>
      <c r="AM82" s="43"/>
      <c r="AN82" s="43"/>
      <c r="AO82" s="43"/>
      <c r="AP82" s="43"/>
      <c r="AQ82" s="43"/>
      <c r="AR82" s="53"/>
      <c r="AS82" s="52"/>
      <c r="AT82" s="43"/>
      <c r="AU82" s="43"/>
      <c r="AV82" s="43"/>
      <c r="AW82" s="43"/>
      <c r="AX82" s="43"/>
      <c r="AY82" s="43"/>
      <c r="AZ82" s="43">
        <v>0.48</v>
      </c>
      <c r="BA82" s="43"/>
      <c r="BB82" s="43"/>
      <c r="BC82" s="43"/>
      <c r="BD82" s="43"/>
      <c r="BE82" s="43"/>
      <c r="BF82" s="43"/>
      <c r="BG82" s="43"/>
      <c r="BH82" s="43"/>
      <c r="BI82" s="43"/>
      <c r="BJ82" s="43"/>
      <c r="BK82" s="43"/>
      <c r="BL82" s="43"/>
      <c r="BM82" s="43"/>
      <c r="BN82" s="43"/>
      <c r="BO82" s="43"/>
      <c r="BP82" s="43"/>
      <c r="BQ82" s="43"/>
      <c r="BR82" s="43"/>
      <c r="BS82" s="43"/>
      <c r="BT82" s="43"/>
      <c r="BU82" s="43"/>
      <c r="BV82" s="43"/>
      <c r="BW82" s="53"/>
      <c r="BX82" s="30">
        <f t="shared" si="17"/>
        <v>0</v>
      </c>
      <c r="BY82" s="52"/>
      <c r="BZ82" s="43"/>
      <c r="CA82" s="43"/>
      <c r="CB82" s="43">
        <v>10</v>
      </c>
      <c r="CC82" s="43"/>
      <c r="CD82" s="43"/>
      <c r="CE82" s="43"/>
      <c r="CF82" s="43"/>
      <c r="CG82" s="53"/>
      <c r="CH82" s="52"/>
      <c r="CI82" s="43"/>
      <c r="CJ82" s="43"/>
      <c r="CK82" s="43"/>
      <c r="CL82" s="43"/>
      <c r="CM82" s="43"/>
      <c r="CN82" s="43"/>
      <c r="CO82" s="43"/>
      <c r="CP82" s="43"/>
      <c r="CQ82" s="43"/>
      <c r="CR82" s="43"/>
      <c r="CS82" s="43"/>
      <c r="CT82" s="43"/>
      <c r="CU82" s="43"/>
      <c r="CV82" s="43"/>
      <c r="CW82" s="43"/>
      <c r="CX82" s="43"/>
      <c r="CY82" s="43"/>
      <c r="CZ82" s="7"/>
      <c r="DA82" s="7"/>
      <c r="DB82" s="43">
        <v>0.48</v>
      </c>
      <c r="DC82" s="43"/>
      <c r="DD82" s="53"/>
      <c r="DE82" s="73">
        <f t="shared" si="19"/>
        <v>0</v>
      </c>
      <c r="DG82" s="52"/>
      <c r="DH82" s="43"/>
      <c r="DI82" s="50">
        <f t="shared" si="20"/>
        <v>5646.88</v>
      </c>
      <c r="DK82" s="52"/>
      <c r="DL82" s="43"/>
      <c r="DM82" s="50">
        <f t="shared" si="21"/>
        <v>2285.7999999999997</v>
      </c>
      <c r="DO82" s="52">
        <v>10</v>
      </c>
      <c r="DP82" s="43">
        <v>0.48</v>
      </c>
      <c r="DQ82" s="50">
        <f t="shared" si="22"/>
        <v>7307.94</v>
      </c>
      <c r="DT82" s="52"/>
      <c r="DU82" s="43"/>
      <c r="DV82" s="50">
        <f t="shared" si="23"/>
        <v>361.19</v>
      </c>
      <c r="DX82" s="52"/>
      <c r="DY82" s="43"/>
      <c r="DZ82" s="53">
        <f t="shared" si="24"/>
        <v>-158.69999999999999</v>
      </c>
      <c r="EB82" s="52"/>
      <c r="EC82" s="43"/>
      <c r="ED82" s="53">
        <f t="shared" si="25"/>
        <v>0</v>
      </c>
      <c r="EF82" s="52"/>
      <c r="EG82" s="43"/>
      <c r="EH82" s="53">
        <f t="shared" si="26"/>
        <v>1225</v>
      </c>
      <c r="EJ82" s="65"/>
      <c r="EK82" s="7"/>
      <c r="EL82" s="53">
        <f t="shared" si="27"/>
        <v>100</v>
      </c>
      <c r="EN82" s="51">
        <f t="shared" si="28"/>
        <v>-5786.2699999999913</v>
      </c>
      <c r="EP82" s="60">
        <f t="shared" si="29"/>
        <v>0</v>
      </c>
      <c r="EQ82" s="61">
        <f t="shared" si="30"/>
        <v>0</v>
      </c>
      <c r="ER82" s="15">
        <f t="shared" si="31"/>
        <v>0</v>
      </c>
      <c r="ES82" s="62">
        <f t="shared" si="32"/>
        <v>0</v>
      </c>
      <c r="EU82" s="6">
        <v>72</v>
      </c>
    </row>
    <row r="83" spans="1:151" x14ac:dyDescent="0.45">
      <c r="A83" s="67">
        <v>45453</v>
      </c>
      <c r="B83" s="25" t="s">
        <v>771</v>
      </c>
      <c r="C83" s="10" t="s">
        <v>633</v>
      </c>
      <c r="D83" s="7"/>
      <c r="E83" s="43">
        <v>14.73</v>
      </c>
      <c r="F83" s="43"/>
      <c r="G83" s="16">
        <f t="shared" si="18"/>
        <v>10996.570000000007</v>
      </c>
      <c r="H83" s="64" t="s">
        <v>625</v>
      </c>
      <c r="I83" s="52"/>
      <c r="J83" s="43"/>
      <c r="K83" s="43"/>
      <c r="L83" s="43"/>
      <c r="M83" s="43"/>
      <c r="N83" s="43"/>
      <c r="O83" s="43"/>
      <c r="P83" s="43"/>
      <c r="Q83" s="43"/>
      <c r="R83" s="43"/>
      <c r="S83" s="43"/>
      <c r="T83" s="43"/>
      <c r="U83" s="43"/>
      <c r="V83" s="43"/>
      <c r="W83" s="43"/>
      <c r="X83" s="43"/>
      <c r="Y83" s="43"/>
      <c r="Z83" s="43"/>
      <c r="AA83" s="43"/>
      <c r="AB83" s="43">
        <v>14.73</v>
      </c>
      <c r="AC83" s="43"/>
      <c r="AD83" s="43"/>
      <c r="AE83" s="43"/>
      <c r="AF83" s="43"/>
      <c r="AG83" s="43"/>
      <c r="AH83" s="43"/>
      <c r="AI83" s="43"/>
      <c r="AJ83" s="43"/>
      <c r="AK83" s="43"/>
      <c r="AL83" s="43"/>
      <c r="AM83" s="43"/>
      <c r="AN83" s="43"/>
      <c r="AO83" s="43"/>
      <c r="AP83" s="43"/>
      <c r="AQ83" s="43"/>
      <c r="AR83" s="53"/>
      <c r="AS83" s="52"/>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53"/>
      <c r="BX83" s="30">
        <f t="shared" si="17"/>
        <v>0</v>
      </c>
      <c r="BY83" s="52"/>
      <c r="BZ83" s="43"/>
      <c r="CA83" s="43"/>
      <c r="CB83" s="43"/>
      <c r="CC83" s="43">
        <v>14.73</v>
      </c>
      <c r="CD83" s="43"/>
      <c r="CE83" s="43"/>
      <c r="CF83" s="43"/>
      <c r="CG83" s="53"/>
      <c r="CH83" s="52"/>
      <c r="CI83" s="43"/>
      <c r="CJ83" s="43"/>
      <c r="CK83" s="43"/>
      <c r="CL83" s="43"/>
      <c r="CM83" s="43"/>
      <c r="CN83" s="43"/>
      <c r="CO83" s="43"/>
      <c r="CP83" s="43"/>
      <c r="CQ83" s="43"/>
      <c r="CR83" s="43"/>
      <c r="CS83" s="43"/>
      <c r="CT83" s="43"/>
      <c r="CU83" s="43"/>
      <c r="CV83" s="43"/>
      <c r="CW83" s="43"/>
      <c r="CX83" s="43"/>
      <c r="CY83" s="43"/>
      <c r="CZ83" s="7"/>
      <c r="DA83" s="7"/>
      <c r="DB83" s="43"/>
      <c r="DC83" s="43"/>
      <c r="DD83" s="53"/>
      <c r="DE83" s="73">
        <f t="shared" si="19"/>
        <v>0</v>
      </c>
      <c r="DG83" s="52"/>
      <c r="DH83" s="43"/>
      <c r="DI83" s="50">
        <f t="shared" si="20"/>
        <v>5646.88</v>
      </c>
      <c r="DK83" s="52"/>
      <c r="DL83" s="43"/>
      <c r="DM83" s="50">
        <f t="shared" si="21"/>
        <v>2285.7999999999997</v>
      </c>
      <c r="DO83" s="52"/>
      <c r="DP83" s="43"/>
      <c r="DQ83" s="50">
        <f t="shared" si="22"/>
        <v>7307.94</v>
      </c>
      <c r="DT83" s="52"/>
      <c r="DU83" s="43"/>
      <c r="DV83" s="50">
        <f t="shared" si="23"/>
        <v>361.19</v>
      </c>
      <c r="DX83" s="52">
        <v>14.73</v>
      </c>
      <c r="DY83" s="43"/>
      <c r="DZ83" s="53">
        <f t="shared" si="24"/>
        <v>-143.97</v>
      </c>
      <c r="EB83" s="52"/>
      <c r="EC83" s="43"/>
      <c r="ED83" s="53">
        <f t="shared" si="25"/>
        <v>0</v>
      </c>
      <c r="EF83" s="52"/>
      <c r="EG83" s="43"/>
      <c r="EH83" s="53">
        <f t="shared" si="26"/>
        <v>1225</v>
      </c>
      <c r="EJ83" s="65"/>
      <c r="EK83" s="7"/>
      <c r="EL83" s="53">
        <f t="shared" si="27"/>
        <v>100</v>
      </c>
      <c r="EN83" s="51">
        <f t="shared" si="28"/>
        <v>-5786.2699999999913</v>
      </c>
      <c r="EP83" s="60">
        <f t="shared" si="29"/>
        <v>0</v>
      </c>
      <c r="EQ83" s="61">
        <f t="shared" si="30"/>
        <v>0</v>
      </c>
      <c r="ER83" s="15">
        <f t="shared" si="31"/>
        <v>0</v>
      </c>
      <c r="ES83" s="163">
        <f>+X83+Y83+Z83+AA83-BZ83-CA83-CB83-CC83+AB83</f>
        <v>0</v>
      </c>
      <c r="EU83">
        <v>73</v>
      </c>
    </row>
    <row r="84" spans="1:151" x14ac:dyDescent="0.45">
      <c r="A84" s="67">
        <v>45456</v>
      </c>
      <c r="B84" s="25" t="s">
        <v>752</v>
      </c>
      <c r="C84" s="10" t="s">
        <v>829</v>
      </c>
      <c r="D84" s="7"/>
      <c r="E84" s="43">
        <v>9</v>
      </c>
      <c r="F84" s="43">
        <v>0.63</v>
      </c>
      <c r="G84" s="16">
        <f t="shared" si="18"/>
        <v>11004.940000000008</v>
      </c>
      <c r="H84" s="64" t="s">
        <v>625</v>
      </c>
      <c r="I84" s="52"/>
      <c r="J84" s="43"/>
      <c r="K84" s="43"/>
      <c r="L84" s="43"/>
      <c r="M84" s="43"/>
      <c r="N84" s="43"/>
      <c r="O84" s="43"/>
      <c r="P84" s="43"/>
      <c r="Q84" s="43"/>
      <c r="R84" s="43"/>
      <c r="S84" s="43"/>
      <c r="T84" s="43"/>
      <c r="U84" s="43"/>
      <c r="V84" s="43"/>
      <c r="W84" s="43"/>
      <c r="X84" s="43">
        <v>9</v>
      </c>
      <c r="Y84" s="43"/>
      <c r="Z84" s="43"/>
      <c r="AA84" s="43"/>
      <c r="AB84" s="43"/>
      <c r="AC84" s="43"/>
      <c r="AD84" s="43"/>
      <c r="AE84" s="43"/>
      <c r="AF84" s="43"/>
      <c r="AG84" s="43"/>
      <c r="AH84" s="43"/>
      <c r="AI84" s="43"/>
      <c r="AJ84" s="43"/>
      <c r="AK84" s="43"/>
      <c r="AL84" s="43"/>
      <c r="AM84" s="43"/>
      <c r="AN84" s="43"/>
      <c r="AO84" s="43"/>
      <c r="AP84" s="43"/>
      <c r="AQ84" s="43"/>
      <c r="AR84" s="53"/>
      <c r="AS84" s="52"/>
      <c r="AT84" s="43"/>
      <c r="AU84" s="43"/>
      <c r="AV84" s="43"/>
      <c r="AW84" s="43"/>
      <c r="AX84" s="43">
        <v>0.63</v>
      </c>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53"/>
      <c r="BX84" s="30">
        <f t="shared" si="17"/>
        <v>0</v>
      </c>
      <c r="BY84" s="52"/>
      <c r="BZ84" s="43"/>
      <c r="CA84" s="43">
        <v>9</v>
      </c>
      <c r="CB84" s="43"/>
      <c r="CC84" s="43"/>
      <c r="CD84" s="43"/>
      <c r="CE84" s="43"/>
      <c r="CF84" s="43"/>
      <c r="CG84" s="53"/>
      <c r="CH84" s="52"/>
      <c r="CI84" s="43"/>
      <c r="CJ84" s="43"/>
      <c r="CK84" s="43"/>
      <c r="CL84" s="43"/>
      <c r="CM84" s="43"/>
      <c r="CN84" s="43"/>
      <c r="CO84" s="43"/>
      <c r="CP84" s="43"/>
      <c r="CQ84" s="43"/>
      <c r="CR84" s="43"/>
      <c r="CS84" s="43"/>
      <c r="CT84" s="43"/>
      <c r="CU84" s="43"/>
      <c r="CV84" s="43"/>
      <c r="CW84" s="43"/>
      <c r="CX84" s="43"/>
      <c r="CY84" s="43"/>
      <c r="CZ84" s="7"/>
      <c r="DA84" s="7"/>
      <c r="DB84" s="43">
        <v>0.63</v>
      </c>
      <c r="DC84" s="43"/>
      <c r="DD84" s="53"/>
      <c r="DE84" s="73">
        <f t="shared" si="19"/>
        <v>0</v>
      </c>
      <c r="DG84" s="52">
        <v>9</v>
      </c>
      <c r="DH84" s="43">
        <v>0.63</v>
      </c>
      <c r="DI84" s="50">
        <f t="shared" si="20"/>
        <v>5655.25</v>
      </c>
      <c r="DK84" s="52"/>
      <c r="DL84" s="43"/>
      <c r="DM84" s="50">
        <f t="shared" si="21"/>
        <v>2285.7999999999997</v>
      </c>
      <c r="DO84" s="52"/>
      <c r="DP84" s="43"/>
      <c r="DQ84" s="50">
        <f t="shared" si="22"/>
        <v>7307.94</v>
      </c>
      <c r="DT84" s="52"/>
      <c r="DU84" s="43"/>
      <c r="DV84" s="50">
        <f t="shared" si="23"/>
        <v>361.19</v>
      </c>
      <c r="DX84" s="52"/>
      <c r="DY84" s="43"/>
      <c r="DZ84" s="53">
        <f t="shared" si="24"/>
        <v>-143.97</v>
      </c>
      <c r="EB84" s="52"/>
      <c r="EC84" s="43"/>
      <c r="ED84" s="53">
        <f t="shared" si="25"/>
        <v>0</v>
      </c>
      <c r="EF84" s="52"/>
      <c r="EG84" s="43"/>
      <c r="EH84" s="53">
        <f t="shared" si="26"/>
        <v>1225</v>
      </c>
      <c r="EJ84" s="65"/>
      <c r="EK84" s="7"/>
      <c r="EL84" s="53">
        <f t="shared" si="27"/>
        <v>100</v>
      </c>
      <c r="EN84" s="51">
        <f t="shared" si="28"/>
        <v>-5786.2699999999913</v>
      </c>
      <c r="EP84" s="60">
        <f t="shared" si="29"/>
        <v>0</v>
      </c>
      <c r="EQ84" s="61">
        <f t="shared" si="30"/>
        <v>0</v>
      </c>
      <c r="ER84" s="15">
        <f t="shared" si="31"/>
        <v>0</v>
      </c>
      <c r="ES84" s="62">
        <f>+X84+Y84+Z84+AA84-BZ84-CA84-CB84-CC84</f>
        <v>0</v>
      </c>
      <c r="EU84" s="6">
        <v>74</v>
      </c>
    </row>
    <row r="85" spans="1:151" x14ac:dyDescent="0.45">
      <c r="A85" s="67">
        <v>45467</v>
      </c>
      <c r="B85" s="25" t="s">
        <v>781</v>
      </c>
      <c r="C85" s="10" t="s">
        <v>647</v>
      </c>
      <c r="D85" s="7"/>
      <c r="E85" s="43">
        <v>51.35</v>
      </c>
      <c r="F85" s="43"/>
      <c r="G85" s="16">
        <f t="shared" si="18"/>
        <v>11056.290000000008</v>
      </c>
      <c r="H85" s="64" t="s">
        <v>625</v>
      </c>
      <c r="I85" s="52"/>
      <c r="J85" s="43"/>
      <c r="K85" s="43"/>
      <c r="L85" s="43"/>
      <c r="M85" s="43"/>
      <c r="N85" s="43"/>
      <c r="O85" s="43"/>
      <c r="P85" s="43"/>
      <c r="Q85" s="43"/>
      <c r="R85" s="43"/>
      <c r="S85" s="43"/>
      <c r="T85" s="43"/>
      <c r="U85" s="43"/>
      <c r="V85" s="43"/>
      <c r="W85" s="43"/>
      <c r="X85" s="43"/>
      <c r="Y85" s="43"/>
      <c r="Z85" s="43"/>
      <c r="AA85" s="43"/>
      <c r="AB85" s="43">
        <v>51.35</v>
      </c>
      <c r="AC85" s="43"/>
      <c r="AD85" s="43"/>
      <c r="AE85" s="43"/>
      <c r="AF85" s="43"/>
      <c r="AG85" s="43"/>
      <c r="AH85" s="43"/>
      <c r="AI85" s="43"/>
      <c r="AJ85" s="43"/>
      <c r="AK85" s="43"/>
      <c r="AL85" s="43"/>
      <c r="AM85" s="43"/>
      <c r="AN85" s="43"/>
      <c r="AO85" s="43"/>
      <c r="AP85" s="43"/>
      <c r="AQ85" s="43"/>
      <c r="AR85" s="53"/>
      <c r="AS85" s="52"/>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53"/>
      <c r="BX85" s="30">
        <f t="shared" si="17"/>
        <v>0</v>
      </c>
      <c r="BY85" s="52"/>
      <c r="BZ85" s="43"/>
      <c r="CA85" s="43"/>
      <c r="CB85" s="43">
        <v>51.35</v>
      </c>
      <c r="CC85" s="43"/>
      <c r="CD85" s="43"/>
      <c r="CE85" s="43"/>
      <c r="CF85" s="43"/>
      <c r="CG85" s="53"/>
      <c r="CH85" s="52"/>
      <c r="CI85" s="43"/>
      <c r="CJ85" s="43"/>
      <c r="CK85" s="43"/>
      <c r="CL85" s="43"/>
      <c r="CM85" s="43"/>
      <c r="CN85" s="43"/>
      <c r="CO85" s="43"/>
      <c r="CP85" s="43"/>
      <c r="CQ85" s="43"/>
      <c r="CR85" s="43"/>
      <c r="CS85" s="43"/>
      <c r="CT85" s="43"/>
      <c r="CU85" s="43"/>
      <c r="CV85" s="43"/>
      <c r="CW85" s="43"/>
      <c r="CX85" s="43"/>
      <c r="CY85" s="43"/>
      <c r="CZ85" s="7"/>
      <c r="DA85" s="7"/>
      <c r="DB85" s="43"/>
      <c r="DC85" s="43"/>
      <c r="DD85" s="53"/>
      <c r="DE85" s="73">
        <f t="shared" si="19"/>
        <v>0</v>
      </c>
      <c r="DG85" s="52"/>
      <c r="DH85" s="43"/>
      <c r="DI85" s="50">
        <f t="shared" si="20"/>
        <v>5655.25</v>
      </c>
      <c r="DK85" s="52"/>
      <c r="DL85" s="43"/>
      <c r="DM85" s="50">
        <f t="shared" si="21"/>
        <v>2285.7999999999997</v>
      </c>
      <c r="DO85" s="52"/>
      <c r="DP85" s="43"/>
      <c r="DQ85" s="50">
        <f t="shared" si="22"/>
        <v>7307.94</v>
      </c>
      <c r="DT85" s="52"/>
      <c r="DU85" s="43"/>
      <c r="DV85" s="50">
        <f t="shared" si="23"/>
        <v>361.19</v>
      </c>
      <c r="DX85" s="52">
        <v>51.35</v>
      </c>
      <c r="DY85" s="43"/>
      <c r="DZ85" s="53">
        <f t="shared" si="24"/>
        <v>-92.62</v>
      </c>
      <c r="EB85" s="52"/>
      <c r="EC85" s="43"/>
      <c r="ED85" s="53">
        <f t="shared" si="25"/>
        <v>0</v>
      </c>
      <c r="EF85" s="52"/>
      <c r="EG85" s="43"/>
      <c r="EH85" s="53">
        <f t="shared" si="26"/>
        <v>1225</v>
      </c>
      <c r="EJ85" s="65"/>
      <c r="EK85" s="7"/>
      <c r="EL85" s="53">
        <f t="shared" si="27"/>
        <v>100</v>
      </c>
      <c r="EN85" s="51">
        <f t="shared" si="28"/>
        <v>-5786.2699999999913</v>
      </c>
      <c r="EP85" s="60">
        <f t="shared" si="29"/>
        <v>0</v>
      </c>
      <c r="EQ85" s="61">
        <f t="shared" si="30"/>
        <v>0</v>
      </c>
      <c r="ER85" s="15">
        <f t="shared" si="31"/>
        <v>0</v>
      </c>
      <c r="ES85" s="163">
        <f>+X85+Y85+Z85+AA85-BZ85-CA85-CB85-CC85+AB85</f>
        <v>0</v>
      </c>
      <c r="EU85">
        <v>75</v>
      </c>
    </row>
    <row r="86" spans="1:151" x14ac:dyDescent="0.45">
      <c r="A86" s="69">
        <v>45467</v>
      </c>
      <c r="B86" s="70" t="s">
        <v>787</v>
      </c>
      <c r="C86" s="10" t="s">
        <v>633</v>
      </c>
      <c r="D86" s="7"/>
      <c r="E86" s="43">
        <v>20</v>
      </c>
      <c r="F86" s="43"/>
      <c r="G86" s="16">
        <f t="shared" si="18"/>
        <v>11076.290000000008</v>
      </c>
      <c r="H86" s="64" t="s">
        <v>625</v>
      </c>
      <c r="I86" s="52"/>
      <c r="J86" s="43"/>
      <c r="K86" s="43"/>
      <c r="L86" s="43"/>
      <c r="M86" s="43"/>
      <c r="N86" s="43"/>
      <c r="O86" s="43"/>
      <c r="P86" s="43"/>
      <c r="Q86" s="43"/>
      <c r="R86" s="43"/>
      <c r="S86" s="43"/>
      <c r="T86" s="43"/>
      <c r="U86" s="43"/>
      <c r="V86" s="43"/>
      <c r="W86" s="43"/>
      <c r="X86" s="43"/>
      <c r="Y86" s="43"/>
      <c r="Z86" s="43"/>
      <c r="AA86" s="43"/>
      <c r="AB86" s="43">
        <v>20</v>
      </c>
      <c r="AC86" s="43"/>
      <c r="AD86" s="43"/>
      <c r="AE86" s="43"/>
      <c r="AF86" s="43"/>
      <c r="AG86" s="43"/>
      <c r="AH86" s="43"/>
      <c r="AI86" s="43"/>
      <c r="AJ86" s="43"/>
      <c r="AK86" s="43"/>
      <c r="AL86" s="43"/>
      <c r="AM86" s="43"/>
      <c r="AN86" s="43"/>
      <c r="AO86" s="43"/>
      <c r="AP86" s="43"/>
      <c r="AQ86" s="43"/>
      <c r="AR86" s="53"/>
      <c r="AS86" s="52"/>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53"/>
      <c r="BX86" s="30">
        <f t="shared" si="17"/>
        <v>0</v>
      </c>
      <c r="BY86" s="52"/>
      <c r="BZ86" s="43"/>
      <c r="CA86" s="43"/>
      <c r="CB86" s="43">
        <v>20</v>
      </c>
      <c r="CC86" s="43"/>
      <c r="CD86" s="43"/>
      <c r="CE86" s="43"/>
      <c r="CF86" s="43"/>
      <c r="CG86" s="53"/>
      <c r="CH86" s="52"/>
      <c r="CI86" s="43"/>
      <c r="CJ86" s="43"/>
      <c r="CK86" s="43"/>
      <c r="CL86" s="43"/>
      <c r="CM86" s="43"/>
      <c r="CN86" s="43"/>
      <c r="CO86" s="43"/>
      <c r="CP86" s="43"/>
      <c r="CQ86" s="43"/>
      <c r="CR86" s="43"/>
      <c r="CS86" s="43"/>
      <c r="CT86" s="43"/>
      <c r="CU86" s="43"/>
      <c r="CV86" s="43"/>
      <c r="CW86" s="43"/>
      <c r="CX86" s="43"/>
      <c r="CY86" s="43"/>
      <c r="CZ86" s="7"/>
      <c r="DA86" s="7"/>
      <c r="DB86" s="43"/>
      <c r="DC86" s="43"/>
      <c r="DD86" s="53"/>
      <c r="DE86" s="73">
        <f t="shared" si="19"/>
        <v>0</v>
      </c>
      <c r="DG86" s="52"/>
      <c r="DH86" s="43"/>
      <c r="DI86" s="50">
        <f t="shared" si="20"/>
        <v>5655.25</v>
      </c>
      <c r="DK86" s="52"/>
      <c r="DL86" s="43"/>
      <c r="DM86" s="50">
        <f t="shared" si="21"/>
        <v>2285.7999999999997</v>
      </c>
      <c r="DO86" s="52"/>
      <c r="DP86" s="43"/>
      <c r="DQ86" s="50">
        <f t="shared" si="22"/>
        <v>7307.94</v>
      </c>
      <c r="DT86" s="52"/>
      <c r="DU86" s="43"/>
      <c r="DV86" s="50">
        <f t="shared" si="23"/>
        <v>361.19</v>
      </c>
      <c r="DX86" s="52">
        <v>20</v>
      </c>
      <c r="DY86" s="43"/>
      <c r="DZ86" s="53">
        <f t="shared" si="24"/>
        <v>-72.62</v>
      </c>
      <c r="EB86" s="52"/>
      <c r="EC86" s="43"/>
      <c r="ED86" s="53">
        <f t="shared" si="25"/>
        <v>0</v>
      </c>
      <c r="EF86" s="52"/>
      <c r="EG86" s="43"/>
      <c r="EH86" s="53">
        <f t="shared" si="26"/>
        <v>1225</v>
      </c>
      <c r="EJ86" s="65"/>
      <c r="EK86" s="7"/>
      <c r="EL86" s="53">
        <f t="shared" si="27"/>
        <v>100</v>
      </c>
      <c r="EN86" s="51">
        <f t="shared" si="28"/>
        <v>-5786.2699999999913</v>
      </c>
      <c r="EP86" s="60">
        <f t="shared" si="29"/>
        <v>0</v>
      </c>
      <c r="EQ86" s="61">
        <f t="shared" si="30"/>
        <v>0</v>
      </c>
      <c r="ER86" s="15">
        <f t="shared" si="31"/>
        <v>0</v>
      </c>
      <c r="ES86" s="62">
        <f>+X86+Y86+Z86+AA86-BZ86-CA86-CB86-CC86+AB86</f>
        <v>0</v>
      </c>
      <c r="EU86" s="6">
        <v>76</v>
      </c>
    </row>
    <row r="87" spans="1:151" x14ac:dyDescent="0.45">
      <c r="A87" s="67">
        <v>45467</v>
      </c>
      <c r="B87" s="25" t="s">
        <v>788</v>
      </c>
      <c r="C87" s="10" t="s">
        <v>633</v>
      </c>
      <c r="D87" s="7"/>
      <c r="E87" s="43">
        <v>100</v>
      </c>
      <c r="F87" s="43"/>
      <c r="G87" s="16">
        <f t="shared" si="18"/>
        <v>11176.290000000008</v>
      </c>
      <c r="H87" s="64" t="s">
        <v>625</v>
      </c>
      <c r="I87" s="52"/>
      <c r="J87" s="43"/>
      <c r="K87" s="43"/>
      <c r="L87" s="43"/>
      <c r="M87" s="43"/>
      <c r="N87" s="43"/>
      <c r="O87" s="43"/>
      <c r="P87" s="43"/>
      <c r="Q87" s="43"/>
      <c r="R87" s="43"/>
      <c r="S87" s="43"/>
      <c r="T87" s="43"/>
      <c r="U87" s="43"/>
      <c r="V87" s="43"/>
      <c r="W87" s="43"/>
      <c r="X87" s="43"/>
      <c r="Y87" s="43"/>
      <c r="Z87" s="43"/>
      <c r="AA87" s="43"/>
      <c r="AB87" s="43">
        <v>100</v>
      </c>
      <c r="AC87" s="43"/>
      <c r="AD87" s="43"/>
      <c r="AE87" s="43"/>
      <c r="AF87" s="43"/>
      <c r="AG87" s="43"/>
      <c r="AH87" s="43"/>
      <c r="AI87" s="43"/>
      <c r="AJ87" s="43"/>
      <c r="AK87" s="43"/>
      <c r="AL87" s="43"/>
      <c r="AM87" s="43"/>
      <c r="AN87" s="43"/>
      <c r="AO87" s="43"/>
      <c r="AP87" s="43"/>
      <c r="AQ87" s="43"/>
      <c r="AR87" s="53"/>
      <c r="AS87" s="52"/>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53"/>
      <c r="BX87" s="30">
        <f t="shared" si="17"/>
        <v>0</v>
      </c>
      <c r="BY87" s="52"/>
      <c r="BZ87" s="43"/>
      <c r="CA87" s="43"/>
      <c r="CB87" s="43">
        <v>100</v>
      </c>
      <c r="CC87" s="43"/>
      <c r="CD87" s="43"/>
      <c r="CE87" s="43"/>
      <c r="CF87" s="43"/>
      <c r="CG87" s="53"/>
      <c r="CH87" s="52"/>
      <c r="CI87" s="43"/>
      <c r="CJ87" s="43"/>
      <c r="CK87" s="43"/>
      <c r="CL87" s="43"/>
      <c r="CM87" s="43"/>
      <c r="CN87" s="43"/>
      <c r="CO87" s="43"/>
      <c r="CP87" s="43"/>
      <c r="CQ87" s="43"/>
      <c r="CR87" s="43"/>
      <c r="CS87" s="43"/>
      <c r="CT87" s="43"/>
      <c r="CU87" s="43"/>
      <c r="CV87" s="43"/>
      <c r="CW87" s="43"/>
      <c r="CX87" s="43"/>
      <c r="CY87" s="43"/>
      <c r="CZ87" s="7"/>
      <c r="DA87" s="7"/>
      <c r="DB87" s="43"/>
      <c r="DC87" s="43"/>
      <c r="DD87" s="53"/>
      <c r="DE87" s="73">
        <f t="shared" si="19"/>
        <v>0</v>
      </c>
      <c r="DG87" s="52"/>
      <c r="DH87" s="43"/>
      <c r="DI87" s="50">
        <f t="shared" si="20"/>
        <v>5655.25</v>
      </c>
      <c r="DK87" s="52"/>
      <c r="DL87" s="43"/>
      <c r="DM87" s="50">
        <f t="shared" si="21"/>
        <v>2285.7999999999997</v>
      </c>
      <c r="DO87" s="52"/>
      <c r="DP87" s="43"/>
      <c r="DQ87" s="50">
        <f t="shared" si="22"/>
        <v>7307.94</v>
      </c>
      <c r="DT87" s="52"/>
      <c r="DU87" s="43"/>
      <c r="DV87" s="50">
        <f t="shared" si="23"/>
        <v>361.19</v>
      </c>
      <c r="DX87" s="52">
        <v>100</v>
      </c>
      <c r="DY87" s="43"/>
      <c r="DZ87" s="53">
        <f t="shared" si="24"/>
        <v>27.379999999999995</v>
      </c>
      <c r="EB87" s="52"/>
      <c r="EC87" s="43"/>
      <c r="ED87" s="53">
        <f t="shared" si="25"/>
        <v>0</v>
      </c>
      <c r="EF87" s="52"/>
      <c r="EG87" s="43"/>
      <c r="EH87" s="53">
        <f t="shared" si="26"/>
        <v>1225</v>
      </c>
      <c r="EJ87" s="65"/>
      <c r="EK87" s="7"/>
      <c r="EL87" s="53">
        <f t="shared" si="27"/>
        <v>100</v>
      </c>
      <c r="EN87" s="51">
        <f t="shared" si="28"/>
        <v>-5786.2699999999904</v>
      </c>
      <c r="EP87" s="60">
        <f t="shared" si="29"/>
        <v>0</v>
      </c>
      <c r="EQ87" s="61">
        <f t="shared" si="30"/>
        <v>0</v>
      </c>
      <c r="ER87" s="15">
        <f t="shared" si="31"/>
        <v>0</v>
      </c>
      <c r="ES87" s="163">
        <f>+X87+Y87+Z87+AA87-BZ87-CA87-CB87-CC87+AB87</f>
        <v>0</v>
      </c>
      <c r="EU87">
        <v>77</v>
      </c>
    </row>
    <row r="88" spans="1:151" x14ac:dyDescent="0.45">
      <c r="A88" s="67">
        <v>45470</v>
      </c>
      <c r="B88" s="25" t="s">
        <v>742</v>
      </c>
      <c r="C88" s="10" t="s">
        <v>691</v>
      </c>
      <c r="D88" s="7"/>
      <c r="E88" s="43">
        <v>40</v>
      </c>
      <c r="F88" s="43">
        <f>0.54+0.78</f>
        <v>1.32</v>
      </c>
      <c r="G88" s="16">
        <f t="shared" si="18"/>
        <v>11214.970000000008</v>
      </c>
      <c r="H88" s="64" t="s">
        <v>625</v>
      </c>
      <c r="I88" s="52"/>
      <c r="J88" s="43"/>
      <c r="K88" s="43"/>
      <c r="L88" s="43"/>
      <c r="M88" s="43"/>
      <c r="N88" s="43"/>
      <c r="O88" s="43"/>
      <c r="P88" s="43"/>
      <c r="Q88" s="43"/>
      <c r="R88" s="43"/>
      <c r="S88" s="43"/>
      <c r="T88" s="43"/>
      <c r="U88" s="43"/>
      <c r="V88" s="43"/>
      <c r="W88" s="43"/>
      <c r="X88" s="43"/>
      <c r="Y88" s="43"/>
      <c r="Z88" s="43">
        <v>40</v>
      </c>
      <c r="AA88" s="43"/>
      <c r="AB88" s="43"/>
      <c r="AC88" s="43"/>
      <c r="AD88" s="43"/>
      <c r="AE88" s="43"/>
      <c r="AF88" s="43"/>
      <c r="AG88" s="43"/>
      <c r="AH88" s="43"/>
      <c r="AI88" s="43"/>
      <c r="AJ88" s="43"/>
      <c r="AK88" s="43"/>
      <c r="AL88" s="43"/>
      <c r="AM88" s="43"/>
      <c r="AN88" s="43"/>
      <c r="AO88" s="43"/>
      <c r="AP88" s="43"/>
      <c r="AQ88" s="43"/>
      <c r="AR88" s="53"/>
      <c r="AS88" s="52"/>
      <c r="AT88" s="43"/>
      <c r="AU88" s="43"/>
      <c r="AV88" s="43"/>
      <c r="AW88" s="43"/>
      <c r="AX88" s="43"/>
      <c r="AY88" s="43"/>
      <c r="AZ88" s="43">
        <v>1.32</v>
      </c>
      <c r="BA88" s="43"/>
      <c r="BB88" s="43"/>
      <c r="BC88" s="43"/>
      <c r="BD88" s="43"/>
      <c r="BE88" s="43"/>
      <c r="BF88" s="43"/>
      <c r="BG88" s="43"/>
      <c r="BH88" s="43"/>
      <c r="BI88" s="43"/>
      <c r="BJ88" s="43"/>
      <c r="BK88" s="43"/>
      <c r="BL88" s="43"/>
      <c r="BM88" s="43"/>
      <c r="BN88" s="43"/>
      <c r="BO88" s="43"/>
      <c r="BP88" s="43"/>
      <c r="BQ88" s="43"/>
      <c r="BR88" s="43"/>
      <c r="BS88" s="43"/>
      <c r="BT88" s="43"/>
      <c r="BU88" s="43"/>
      <c r="BV88" s="43"/>
      <c r="BW88" s="53"/>
      <c r="BX88" s="30">
        <f t="shared" si="17"/>
        <v>0</v>
      </c>
      <c r="BY88" s="52"/>
      <c r="BZ88" s="43">
        <v>40</v>
      </c>
      <c r="CA88" s="43"/>
      <c r="CB88" s="43"/>
      <c r="CC88" s="43"/>
      <c r="CD88" s="43"/>
      <c r="CE88" s="43"/>
      <c r="CF88" s="43"/>
      <c r="CG88" s="53"/>
      <c r="CH88" s="52"/>
      <c r="CI88" s="43"/>
      <c r="CJ88" s="43"/>
      <c r="CK88" s="43"/>
      <c r="CL88" s="43"/>
      <c r="CM88" s="43"/>
      <c r="CN88" s="43"/>
      <c r="CO88" s="43"/>
      <c r="CP88" s="43"/>
      <c r="CQ88" s="43"/>
      <c r="CR88" s="43"/>
      <c r="CS88" s="43"/>
      <c r="CT88" s="43"/>
      <c r="CU88" s="43"/>
      <c r="CV88" s="43"/>
      <c r="CW88" s="43"/>
      <c r="CX88" s="43"/>
      <c r="CY88" s="43"/>
      <c r="CZ88" s="7"/>
      <c r="DA88" s="7"/>
      <c r="DB88" s="43">
        <v>1.32</v>
      </c>
      <c r="DC88" s="43"/>
      <c r="DD88" s="53"/>
      <c r="DE88" s="73">
        <f t="shared" si="19"/>
        <v>0</v>
      </c>
      <c r="DG88" s="52"/>
      <c r="DH88" s="43"/>
      <c r="DI88" s="50">
        <f t="shared" si="20"/>
        <v>5655.25</v>
      </c>
      <c r="DK88" s="52"/>
      <c r="DL88" s="43"/>
      <c r="DM88" s="50">
        <f t="shared" si="21"/>
        <v>2285.7999999999997</v>
      </c>
      <c r="DO88" s="52">
        <v>40</v>
      </c>
      <c r="DP88" s="43">
        <v>1.32</v>
      </c>
      <c r="DQ88" s="50">
        <f t="shared" si="22"/>
        <v>7346.62</v>
      </c>
      <c r="DT88" s="52"/>
      <c r="DU88" s="43"/>
      <c r="DV88" s="50">
        <f t="shared" si="23"/>
        <v>361.19</v>
      </c>
      <c r="DX88" s="52"/>
      <c r="DY88" s="43"/>
      <c r="DZ88" s="53">
        <f t="shared" si="24"/>
        <v>27.379999999999995</v>
      </c>
      <c r="EB88" s="52"/>
      <c r="EC88" s="43"/>
      <c r="ED88" s="53">
        <f t="shared" si="25"/>
        <v>0</v>
      </c>
      <c r="EF88" s="52"/>
      <c r="EG88" s="43"/>
      <c r="EH88" s="53">
        <f t="shared" si="26"/>
        <v>1225</v>
      </c>
      <c r="EJ88" s="65"/>
      <c r="EK88" s="7"/>
      <c r="EL88" s="53">
        <f t="shared" si="27"/>
        <v>100</v>
      </c>
      <c r="EN88" s="51">
        <f t="shared" si="28"/>
        <v>-5786.2699999999904</v>
      </c>
      <c r="EP88" s="60">
        <f t="shared" si="29"/>
        <v>0</v>
      </c>
      <c r="EQ88" s="61">
        <f t="shared" si="30"/>
        <v>0</v>
      </c>
      <c r="ER88" s="15">
        <f t="shared" si="31"/>
        <v>0</v>
      </c>
      <c r="ES88" s="62">
        <f>+X88+Y88+Z88+AA88-BZ88-CA88-CB88-CC88+AB88</f>
        <v>0</v>
      </c>
      <c r="EU88" s="6">
        <v>78</v>
      </c>
    </row>
    <row r="89" spans="1:151" x14ac:dyDescent="0.45">
      <c r="A89" s="67">
        <v>45471</v>
      </c>
      <c r="B89" s="25" t="s">
        <v>786</v>
      </c>
      <c r="C89" s="10" t="s">
        <v>783</v>
      </c>
      <c r="D89" s="7"/>
      <c r="E89" s="43">
        <v>5</v>
      </c>
      <c r="F89" s="43">
        <f>0.23+0.1</f>
        <v>0.33</v>
      </c>
      <c r="G89" s="16">
        <f t="shared" si="18"/>
        <v>11219.640000000009</v>
      </c>
      <c r="H89" s="64" t="s">
        <v>625</v>
      </c>
      <c r="I89" s="52"/>
      <c r="J89" s="43"/>
      <c r="K89" s="43"/>
      <c r="L89" s="43"/>
      <c r="M89" s="43"/>
      <c r="N89" s="43"/>
      <c r="O89" s="43"/>
      <c r="P89" s="43"/>
      <c r="Q89" s="43"/>
      <c r="R89" s="43"/>
      <c r="S89" s="43"/>
      <c r="T89" s="43"/>
      <c r="U89" s="43"/>
      <c r="V89" s="43"/>
      <c r="W89" s="43"/>
      <c r="X89" s="43"/>
      <c r="Y89" s="43"/>
      <c r="Z89" s="43">
        <v>5</v>
      </c>
      <c r="AA89" s="43"/>
      <c r="AB89" s="43"/>
      <c r="AC89" s="43"/>
      <c r="AD89" s="43"/>
      <c r="AE89" s="43"/>
      <c r="AF89" s="43"/>
      <c r="AG89" s="43"/>
      <c r="AH89" s="43"/>
      <c r="AI89" s="43"/>
      <c r="AJ89" s="43"/>
      <c r="AK89" s="43"/>
      <c r="AL89" s="43"/>
      <c r="AM89" s="43"/>
      <c r="AN89" s="43"/>
      <c r="AO89" s="43"/>
      <c r="AP89" s="43"/>
      <c r="AQ89" s="43"/>
      <c r="AR89" s="53"/>
      <c r="AS89" s="52"/>
      <c r="AT89" s="43"/>
      <c r="AU89" s="43"/>
      <c r="AV89" s="43"/>
      <c r="AW89" s="43"/>
      <c r="AX89" s="43"/>
      <c r="AY89" s="43"/>
      <c r="AZ89" s="43">
        <v>0.33</v>
      </c>
      <c r="BA89" s="43"/>
      <c r="BB89" s="43"/>
      <c r="BC89" s="43"/>
      <c r="BD89" s="43"/>
      <c r="BE89" s="43"/>
      <c r="BF89" s="43"/>
      <c r="BG89" s="43"/>
      <c r="BH89" s="43"/>
      <c r="BI89" s="43"/>
      <c r="BJ89" s="43"/>
      <c r="BK89" s="43"/>
      <c r="BL89" s="43"/>
      <c r="BM89" s="43"/>
      <c r="BN89" s="43"/>
      <c r="BO89" s="43"/>
      <c r="BP89" s="43"/>
      <c r="BQ89" s="43"/>
      <c r="BR89" s="43"/>
      <c r="BS89" s="43"/>
      <c r="BT89" s="43"/>
      <c r="BU89" s="43"/>
      <c r="BV89" s="43"/>
      <c r="BW89" s="53"/>
      <c r="BX89" s="30">
        <f t="shared" si="17"/>
        <v>0</v>
      </c>
      <c r="BY89" s="52"/>
      <c r="BZ89" s="43"/>
      <c r="CA89" s="43">
        <v>5</v>
      </c>
      <c r="CB89" s="43"/>
      <c r="CC89" s="43"/>
      <c r="CD89" s="43"/>
      <c r="CE89" s="43"/>
      <c r="CF89" s="43"/>
      <c r="CG89" s="53"/>
      <c r="CH89" s="52"/>
      <c r="CI89" s="43"/>
      <c r="CJ89" s="43"/>
      <c r="CK89" s="43"/>
      <c r="CL89" s="43"/>
      <c r="CM89" s="43"/>
      <c r="CN89" s="43"/>
      <c r="CO89" s="43"/>
      <c r="CP89" s="43"/>
      <c r="CQ89" s="43"/>
      <c r="CR89" s="43"/>
      <c r="CS89" s="43"/>
      <c r="CT89" s="43"/>
      <c r="CU89" s="43"/>
      <c r="CV89" s="43"/>
      <c r="CW89" s="43"/>
      <c r="CX89" s="43"/>
      <c r="CY89" s="43"/>
      <c r="CZ89" s="7"/>
      <c r="DA89" s="7"/>
      <c r="DB89" s="43">
        <v>0.33</v>
      </c>
      <c r="DC89" s="43"/>
      <c r="DD89" s="53"/>
      <c r="DE89" s="73">
        <f t="shared" si="19"/>
        <v>0</v>
      </c>
      <c r="DG89" s="52"/>
      <c r="DH89" s="43"/>
      <c r="DI89" s="50">
        <f t="shared" si="20"/>
        <v>5655.25</v>
      </c>
      <c r="DK89" s="52"/>
      <c r="DL89" s="43"/>
      <c r="DM89" s="50">
        <f t="shared" si="21"/>
        <v>2285.7999999999997</v>
      </c>
      <c r="DO89" s="52">
        <v>5</v>
      </c>
      <c r="DP89" s="43">
        <v>0.33</v>
      </c>
      <c r="DQ89" s="50">
        <f t="shared" si="22"/>
        <v>7351.29</v>
      </c>
      <c r="DT89" s="52"/>
      <c r="DU89" s="43"/>
      <c r="DV89" s="50">
        <f t="shared" si="23"/>
        <v>361.19</v>
      </c>
      <c r="DX89" s="52"/>
      <c r="DY89" s="43"/>
      <c r="DZ89" s="53">
        <f t="shared" si="24"/>
        <v>27.379999999999995</v>
      </c>
      <c r="EB89" s="52"/>
      <c r="EC89" s="43"/>
      <c r="ED89" s="53">
        <f t="shared" si="25"/>
        <v>0</v>
      </c>
      <c r="EF89" s="52"/>
      <c r="EG89" s="43"/>
      <c r="EH89" s="53">
        <f t="shared" si="26"/>
        <v>1225</v>
      </c>
      <c r="EJ89" s="65"/>
      <c r="EK89" s="7"/>
      <c r="EL89" s="53">
        <f t="shared" si="27"/>
        <v>100</v>
      </c>
      <c r="EN89" s="51">
        <f t="shared" si="28"/>
        <v>-5786.2699999999904</v>
      </c>
      <c r="EP89" s="60">
        <f t="shared" si="29"/>
        <v>0</v>
      </c>
      <c r="EQ89" s="61">
        <f t="shared" si="30"/>
        <v>0</v>
      </c>
      <c r="ER89" s="15">
        <f t="shared" si="31"/>
        <v>0</v>
      </c>
      <c r="ES89" s="163">
        <f t="shared" ref="ES89:ES120" si="33">+X89+Y89+Z89+AA89-BZ89-CA89-CB89-CC89</f>
        <v>0</v>
      </c>
      <c r="EU89">
        <v>79</v>
      </c>
    </row>
    <row r="90" spans="1:151" x14ac:dyDescent="0.45">
      <c r="A90" s="67">
        <v>45474</v>
      </c>
      <c r="B90" s="25" t="s">
        <v>772</v>
      </c>
      <c r="C90" s="10" t="s">
        <v>633</v>
      </c>
      <c r="D90" s="7"/>
      <c r="E90" s="43">
        <v>0.03</v>
      </c>
      <c r="F90" s="43"/>
      <c r="G90" s="16">
        <f t="shared" si="18"/>
        <v>11219.670000000009</v>
      </c>
      <c r="H90" s="64" t="s">
        <v>625</v>
      </c>
      <c r="I90" s="52"/>
      <c r="J90" s="43"/>
      <c r="K90" s="43"/>
      <c r="L90" s="43"/>
      <c r="M90" s="43"/>
      <c r="N90" s="43"/>
      <c r="O90" s="43"/>
      <c r="P90" s="43"/>
      <c r="Q90" s="43"/>
      <c r="R90" s="43"/>
      <c r="S90" s="43"/>
      <c r="T90" s="43"/>
      <c r="U90" s="43"/>
      <c r="V90" s="43"/>
      <c r="W90" s="43"/>
      <c r="X90" s="43"/>
      <c r="Y90" s="43"/>
      <c r="Z90" s="43"/>
      <c r="AA90" s="43"/>
      <c r="AB90" s="43">
        <v>0.03</v>
      </c>
      <c r="AC90" s="43"/>
      <c r="AD90" s="43"/>
      <c r="AE90" s="43"/>
      <c r="AF90" s="43"/>
      <c r="AG90" s="43"/>
      <c r="AH90" s="43"/>
      <c r="AI90" s="43"/>
      <c r="AJ90" s="43"/>
      <c r="AK90" s="43"/>
      <c r="AL90" s="43"/>
      <c r="AM90" s="43"/>
      <c r="AN90" s="43"/>
      <c r="AO90" s="43"/>
      <c r="AP90" s="43"/>
      <c r="AQ90" s="43"/>
      <c r="AR90" s="53"/>
      <c r="AS90" s="52"/>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53"/>
      <c r="BX90" s="30">
        <f t="shared" si="17"/>
        <v>0</v>
      </c>
      <c r="BY90" s="52">
        <v>0.03</v>
      </c>
      <c r="BZ90" s="43"/>
      <c r="CA90" s="43"/>
      <c r="CB90" s="43"/>
      <c r="CC90" s="43"/>
      <c r="CD90" s="43"/>
      <c r="CE90" s="43"/>
      <c r="CF90" s="43"/>
      <c r="CG90" s="53"/>
      <c r="CH90" s="52"/>
      <c r="CI90" s="43"/>
      <c r="CJ90" s="43"/>
      <c r="CK90" s="43"/>
      <c r="CL90" s="43"/>
      <c r="CM90" s="43"/>
      <c r="CN90" s="43"/>
      <c r="CO90" s="43"/>
      <c r="CP90" s="43"/>
      <c r="CQ90" s="43"/>
      <c r="CR90" s="43"/>
      <c r="CS90" s="43"/>
      <c r="CT90" s="43"/>
      <c r="CU90" s="43"/>
      <c r="CV90" s="43"/>
      <c r="CW90" s="43"/>
      <c r="CX90" s="43"/>
      <c r="CY90" s="43"/>
      <c r="CZ90" s="7"/>
      <c r="DA90" s="7"/>
      <c r="DB90" s="43"/>
      <c r="DC90" s="43"/>
      <c r="DD90" s="53"/>
      <c r="DE90" s="73">
        <f t="shared" si="19"/>
        <v>0</v>
      </c>
      <c r="DG90" s="52"/>
      <c r="DH90" s="43"/>
      <c r="DI90" s="50">
        <f t="shared" si="20"/>
        <v>5655.25</v>
      </c>
      <c r="DK90" s="52"/>
      <c r="DL90" s="43"/>
      <c r="DM90" s="50">
        <f t="shared" si="21"/>
        <v>2285.7999999999997</v>
      </c>
      <c r="DO90" s="52"/>
      <c r="DP90" s="43"/>
      <c r="DQ90" s="50">
        <f t="shared" si="22"/>
        <v>7351.29</v>
      </c>
      <c r="DT90" s="52"/>
      <c r="DU90" s="43"/>
      <c r="DV90" s="50">
        <f t="shared" si="23"/>
        <v>361.19</v>
      </c>
      <c r="DX90" s="52">
        <v>0.03</v>
      </c>
      <c r="DY90" s="43"/>
      <c r="DZ90" s="53">
        <f t="shared" si="24"/>
        <v>27.409999999999997</v>
      </c>
      <c r="EB90" s="52"/>
      <c r="EC90" s="43"/>
      <c r="ED90" s="53">
        <f t="shared" si="25"/>
        <v>0</v>
      </c>
      <c r="EF90" s="52"/>
      <c r="EG90" s="43"/>
      <c r="EH90" s="53">
        <f t="shared" si="26"/>
        <v>1225</v>
      </c>
      <c r="EJ90" s="65"/>
      <c r="EK90" s="7"/>
      <c r="EL90" s="53">
        <f t="shared" si="27"/>
        <v>100</v>
      </c>
      <c r="EN90" s="51">
        <f t="shared" si="28"/>
        <v>-5786.2699999999904</v>
      </c>
      <c r="EP90" s="60">
        <f t="shared" si="29"/>
        <v>0</v>
      </c>
      <c r="EQ90" s="61">
        <f t="shared" si="30"/>
        <v>0</v>
      </c>
      <c r="ER90" s="15">
        <f t="shared" si="31"/>
        <v>0</v>
      </c>
      <c r="ES90" s="62">
        <f t="shared" si="33"/>
        <v>0</v>
      </c>
      <c r="EU90" s="6">
        <v>80</v>
      </c>
    </row>
    <row r="91" spans="1:151" x14ac:dyDescent="0.45">
      <c r="A91" s="67">
        <v>45474</v>
      </c>
      <c r="B91" s="25" t="s">
        <v>785</v>
      </c>
      <c r="C91" s="10" t="s">
        <v>784</v>
      </c>
      <c r="D91" s="7"/>
      <c r="E91" s="43">
        <v>10</v>
      </c>
      <c r="F91" s="43">
        <v>0.48</v>
      </c>
      <c r="G91" s="16">
        <f t="shared" si="18"/>
        <v>11229.19000000001</v>
      </c>
      <c r="H91" s="64" t="s">
        <v>625</v>
      </c>
      <c r="I91" s="52"/>
      <c r="J91" s="43"/>
      <c r="K91" s="43"/>
      <c r="L91" s="43"/>
      <c r="M91" s="43"/>
      <c r="N91" s="43"/>
      <c r="O91" s="43"/>
      <c r="P91" s="43"/>
      <c r="Q91" s="43"/>
      <c r="R91" s="43"/>
      <c r="S91" s="43"/>
      <c r="T91" s="43"/>
      <c r="U91" s="43"/>
      <c r="V91" s="43"/>
      <c r="W91" s="43"/>
      <c r="X91" s="43"/>
      <c r="Y91" s="43"/>
      <c r="Z91" s="43">
        <v>10</v>
      </c>
      <c r="AA91" s="43"/>
      <c r="AB91" s="43"/>
      <c r="AC91" s="43"/>
      <c r="AD91" s="43"/>
      <c r="AE91" s="43"/>
      <c r="AF91" s="43"/>
      <c r="AG91" s="43"/>
      <c r="AH91" s="43"/>
      <c r="AI91" s="43"/>
      <c r="AJ91" s="43"/>
      <c r="AK91" s="43"/>
      <c r="AL91" s="43"/>
      <c r="AM91" s="43"/>
      <c r="AN91" s="43"/>
      <c r="AO91" s="43"/>
      <c r="AP91" s="43"/>
      <c r="AQ91" s="43"/>
      <c r="AR91" s="53"/>
      <c r="AS91" s="52"/>
      <c r="AT91" s="43"/>
      <c r="AU91" s="43"/>
      <c r="AV91" s="43"/>
      <c r="AW91" s="43"/>
      <c r="AX91" s="43"/>
      <c r="AY91" s="43"/>
      <c r="AZ91" s="43">
        <v>0.48</v>
      </c>
      <c r="BA91" s="43"/>
      <c r="BB91" s="43"/>
      <c r="BC91" s="43"/>
      <c r="BD91" s="43"/>
      <c r="BE91" s="43"/>
      <c r="BF91" s="43"/>
      <c r="BG91" s="43"/>
      <c r="BH91" s="43"/>
      <c r="BI91" s="43"/>
      <c r="BJ91" s="43"/>
      <c r="BK91" s="43"/>
      <c r="BL91" s="43"/>
      <c r="BM91" s="43"/>
      <c r="BN91" s="43"/>
      <c r="BO91" s="43"/>
      <c r="BP91" s="43"/>
      <c r="BQ91" s="43"/>
      <c r="BR91" s="43"/>
      <c r="BS91" s="43"/>
      <c r="BT91" s="43"/>
      <c r="BU91" s="43"/>
      <c r="BV91" s="43"/>
      <c r="BW91" s="53"/>
      <c r="BX91" s="30">
        <f t="shared" si="17"/>
        <v>0</v>
      </c>
      <c r="BY91" s="52"/>
      <c r="BZ91" s="43"/>
      <c r="CA91" s="43"/>
      <c r="CB91" s="43">
        <v>10</v>
      </c>
      <c r="CC91" s="43"/>
      <c r="CD91" s="43"/>
      <c r="CE91" s="43"/>
      <c r="CF91" s="43"/>
      <c r="CG91" s="53"/>
      <c r="CH91" s="52"/>
      <c r="CI91" s="43"/>
      <c r="CJ91" s="43"/>
      <c r="CK91" s="43"/>
      <c r="CL91" s="43"/>
      <c r="CM91" s="43"/>
      <c r="CN91" s="43"/>
      <c r="CO91" s="43"/>
      <c r="CP91" s="43"/>
      <c r="CQ91" s="43"/>
      <c r="CR91" s="43"/>
      <c r="CS91" s="43"/>
      <c r="CT91" s="43"/>
      <c r="CU91" s="43"/>
      <c r="CV91" s="43"/>
      <c r="CW91" s="43"/>
      <c r="CX91" s="43"/>
      <c r="CY91" s="43"/>
      <c r="CZ91" s="7"/>
      <c r="DA91" s="7"/>
      <c r="DB91" s="43">
        <v>0.48</v>
      </c>
      <c r="DC91" s="43"/>
      <c r="DD91" s="53"/>
      <c r="DE91" s="73">
        <f t="shared" si="19"/>
        <v>0</v>
      </c>
      <c r="DG91" s="52"/>
      <c r="DH91" s="43"/>
      <c r="DI91" s="50">
        <f t="shared" si="20"/>
        <v>5655.25</v>
      </c>
      <c r="DK91" s="52"/>
      <c r="DL91" s="43"/>
      <c r="DM91" s="50">
        <f t="shared" si="21"/>
        <v>2285.7999999999997</v>
      </c>
      <c r="DO91" s="52">
        <v>10</v>
      </c>
      <c r="DP91" s="43">
        <v>0.48</v>
      </c>
      <c r="DQ91" s="50">
        <f t="shared" si="22"/>
        <v>7360.81</v>
      </c>
      <c r="DT91" s="52"/>
      <c r="DU91" s="43"/>
      <c r="DV91" s="50">
        <f t="shared" si="23"/>
        <v>361.19</v>
      </c>
      <c r="DX91" s="52"/>
      <c r="DY91" s="43"/>
      <c r="DZ91" s="53">
        <f t="shared" si="24"/>
        <v>27.409999999999997</v>
      </c>
      <c r="EB91" s="52"/>
      <c r="EC91" s="43"/>
      <c r="ED91" s="53">
        <f t="shared" si="25"/>
        <v>0</v>
      </c>
      <c r="EF91" s="52"/>
      <c r="EG91" s="43"/>
      <c r="EH91" s="53">
        <f t="shared" si="26"/>
        <v>1225</v>
      </c>
      <c r="EJ91" s="65"/>
      <c r="EK91" s="7"/>
      <c r="EL91" s="53">
        <f t="shared" si="27"/>
        <v>100</v>
      </c>
      <c r="EN91" s="51">
        <f t="shared" si="28"/>
        <v>-5786.2699999999904</v>
      </c>
      <c r="EP91" s="60">
        <f t="shared" si="29"/>
        <v>0</v>
      </c>
      <c r="EQ91" s="61">
        <f t="shared" si="30"/>
        <v>0</v>
      </c>
      <c r="ER91" s="15">
        <f t="shared" si="31"/>
        <v>0</v>
      </c>
      <c r="ES91" s="163">
        <f t="shared" si="33"/>
        <v>0</v>
      </c>
      <c r="EU91">
        <v>81</v>
      </c>
    </row>
    <row r="92" spans="1:151" x14ac:dyDescent="0.45">
      <c r="A92" s="67">
        <v>45474</v>
      </c>
      <c r="B92" s="25" t="s">
        <v>748</v>
      </c>
      <c r="C92" s="10" t="s">
        <v>713</v>
      </c>
      <c r="D92" s="7"/>
      <c r="E92" s="43">
        <v>40</v>
      </c>
      <c r="F92" s="43">
        <v>1.32</v>
      </c>
      <c r="G92" s="66">
        <f t="shared" si="18"/>
        <v>11267.87000000001</v>
      </c>
      <c r="H92" s="64" t="s">
        <v>625</v>
      </c>
      <c r="I92" s="52"/>
      <c r="J92" s="43"/>
      <c r="K92" s="43"/>
      <c r="L92" s="43"/>
      <c r="M92" s="43"/>
      <c r="N92" s="43"/>
      <c r="O92" s="43"/>
      <c r="P92" s="43"/>
      <c r="Q92" s="43"/>
      <c r="R92" s="43"/>
      <c r="S92" s="43"/>
      <c r="T92" s="43"/>
      <c r="U92" s="43"/>
      <c r="V92" s="43"/>
      <c r="W92" s="43"/>
      <c r="X92" s="43"/>
      <c r="Y92" s="43">
        <v>40</v>
      </c>
      <c r="Z92" s="43"/>
      <c r="AA92" s="43"/>
      <c r="AB92" s="43"/>
      <c r="AC92" s="43"/>
      <c r="AD92" s="43"/>
      <c r="AE92" s="43"/>
      <c r="AF92" s="43"/>
      <c r="AG92" s="43"/>
      <c r="AH92" s="43"/>
      <c r="AI92" s="43"/>
      <c r="AJ92" s="43"/>
      <c r="AK92" s="43"/>
      <c r="AL92" s="43"/>
      <c r="AM92" s="43"/>
      <c r="AN92" s="43"/>
      <c r="AO92" s="43"/>
      <c r="AP92" s="43"/>
      <c r="AQ92" s="43"/>
      <c r="AR92" s="53"/>
      <c r="AS92" s="52"/>
      <c r="AT92" s="43"/>
      <c r="AU92" s="43"/>
      <c r="AV92" s="43"/>
      <c r="AW92" s="43"/>
      <c r="AX92" s="43"/>
      <c r="AY92" s="43">
        <v>1.32</v>
      </c>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53"/>
      <c r="BX92" s="30">
        <f t="shared" si="17"/>
        <v>0</v>
      </c>
      <c r="BY92" s="52"/>
      <c r="BZ92" s="43">
        <v>40</v>
      </c>
      <c r="CA92" s="43"/>
      <c r="CB92" s="43"/>
      <c r="CC92" s="43"/>
      <c r="CD92" s="43"/>
      <c r="CE92" s="43"/>
      <c r="CF92" s="43"/>
      <c r="CG92" s="53"/>
      <c r="CH92" s="52"/>
      <c r="CI92" s="43"/>
      <c r="CJ92" s="43"/>
      <c r="CK92" s="43"/>
      <c r="CL92" s="43"/>
      <c r="CM92" s="43"/>
      <c r="CN92" s="43"/>
      <c r="CO92" s="43"/>
      <c r="CP92" s="43"/>
      <c r="CQ92" s="43"/>
      <c r="CR92" s="43"/>
      <c r="CS92" s="43"/>
      <c r="CT92" s="43"/>
      <c r="CU92" s="43"/>
      <c r="CV92" s="43"/>
      <c r="CW92" s="43"/>
      <c r="CX92" s="43"/>
      <c r="CY92" s="43"/>
      <c r="CZ92" s="7"/>
      <c r="DA92" s="7"/>
      <c r="DB92" s="43">
        <v>1.32</v>
      </c>
      <c r="DC92" s="43"/>
      <c r="DD92" s="53"/>
      <c r="DE92" s="73">
        <f t="shared" si="19"/>
        <v>0</v>
      </c>
      <c r="DG92" s="52"/>
      <c r="DH92" s="43"/>
      <c r="DI92" s="50">
        <f t="shared" si="20"/>
        <v>5655.25</v>
      </c>
      <c r="DK92" s="52">
        <v>40</v>
      </c>
      <c r="DL92" s="43">
        <v>1.32</v>
      </c>
      <c r="DM92" s="50">
        <f t="shared" si="21"/>
        <v>2324.4799999999996</v>
      </c>
      <c r="DO92" s="52"/>
      <c r="DP92" s="43"/>
      <c r="DQ92" s="50">
        <f t="shared" si="22"/>
        <v>7360.81</v>
      </c>
      <c r="DT92" s="52"/>
      <c r="DU92" s="43"/>
      <c r="DV92" s="50">
        <f t="shared" si="23"/>
        <v>361.19</v>
      </c>
      <c r="DX92" s="52"/>
      <c r="DY92" s="43"/>
      <c r="DZ92" s="53">
        <f t="shared" si="24"/>
        <v>27.409999999999997</v>
      </c>
      <c r="EB92" s="52"/>
      <c r="EC92" s="43"/>
      <c r="ED92" s="53">
        <f t="shared" si="25"/>
        <v>0</v>
      </c>
      <c r="EF92" s="52"/>
      <c r="EG92" s="43"/>
      <c r="EH92" s="53">
        <f t="shared" si="26"/>
        <v>1225</v>
      </c>
      <c r="EJ92" s="65"/>
      <c r="EK92" s="7"/>
      <c r="EL92" s="53">
        <f t="shared" si="27"/>
        <v>100</v>
      </c>
      <c r="EN92" s="51">
        <f t="shared" si="28"/>
        <v>-5786.2699999999895</v>
      </c>
      <c r="EP92" s="60">
        <f t="shared" si="29"/>
        <v>0</v>
      </c>
      <c r="EQ92" s="61">
        <f t="shared" si="30"/>
        <v>0</v>
      </c>
      <c r="ER92" s="15">
        <f t="shared" si="31"/>
        <v>0</v>
      </c>
      <c r="ES92" s="62">
        <f t="shared" si="33"/>
        <v>0</v>
      </c>
      <c r="EU92" s="6">
        <v>82</v>
      </c>
    </row>
    <row r="93" spans="1:151" x14ac:dyDescent="0.45">
      <c r="A93" s="67">
        <v>45476</v>
      </c>
      <c r="B93" s="25" t="s">
        <v>789</v>
      </c>
      <c r="C93" s="10" t="s">
        <v>633</v>
      </c>
      <c r="D93" s="7"/>
      <c r="E93" s="43">
        <v>90</v>
      </c>
      <c r="F93" s="43"/>
      <c r="G93" s="16">
        <f t="shared" si="18"/>
        <v>11357.87000000001</v>
      </c>
      <c r="H93" s="64" t="s">
        <v>625</v>
      </c>
      <c r="I93" s="52"/>
      <c r="J93" s="43"/>
      <c r="K93" s="43"/>
      <c r="L93" s="43"/>
      <c r="M93" s="43"/>
      <c r="N93" s="43"/>
      <c r="O93" s="43"/>
      <c r="P93" s="43"/>
      <c r="Q93" s="43"/>
      <c r="R93" s="43"/>
      <c r="S93" s="43"/>
      <c r="T93" s="43"/>
      <c r="U93" s="43"/>
      <c r="V93" s="43"/>
      <c r="W93" s="43"/>
      <c r="X93" s="43"/>
      <c r="Y93" s="43"/>
      <c r="Z93" s="43"/>
      <c r="AA93" s="43"/>
      <c r="AB93" s="43">
        <v>90</v>
      </c>
      <c r="AC93" s="43"/>
      <c r="AD93" s="43"/>
      <c r="AE93" s="43"/>
      <c r="AF93" s="43"/>
      <c r="AG93" s="43"/>
      <c r="AH93" s="43"/>
      <c r="AI93" s="43"/>
      <c r="AJ93" s="43"/>
      <c r="AK93" s="43"/>
      <c r="AL93" s="43"/>
      <c r="AM93" s="43"/>
      <c r="AN93" s="43"/>
      <c r="AO93" s="43"/>
      <c r="AP93" s="43"/>
      <c r="AQ93" s="43"/>
      <c r="AR93" s="53"/>
      <c r="AS93" s="52"/>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53"/>
      <c r="BX93" s="30">
        <f t="shared" si="17"/>
        <v>0</v>
      </c>
      <c r="BY93" s="52">
        <v>90</v>
      </c>
      <c r="BZ93" s="43"/>
      <c r="CA93" s="43"/>
      <c r="CB93" s="43"/>
      <c r="CC93" s="43"/>
      <c r="CD93" s="43"/>
      <c r="CE93" s="43"/>
      <c r="CF93" s="43"/>
      <c r="CG93" s="53"/>
      <c r="CH93" s="52"/>
      <c r="CI93" s="43"/>
      <c r="CJ93" s="43"/>
      <c r="CK93" s="43"/>
      <c r="CL93" s="43"/>
      <c r="CM93" s="43"/>
      <c r="CN93" s="43"/>
      <c r="CO93" s="43"/>
      <c r="CP93" s="43"/>
      <c r="CQ93" s="43"/>
      <c r="CR93" s="43"/>
      <c r="CS93" s="43"/>
      <c r="CT93" s="43"/>
      <c r="CU93" s="43"/>
      <c r="CV93" s="43"/>
      <c r="CW93" s="43"/>
      <c r="CX93" s="43"/>
      <c r="CY93" s="43"/>
      <c r="CZ93" s="7"/>
      <c r="DA93" s="7"/>
      <c r="DB93" s="43"/>
      <c r="DC93" s="43"/>
      <c r="DD93" s="53"/>
      <c r="DE93" s="73">
        <f t="shared" si="19"/>
        <v>0</v>
      </c>
      <c r="DG93" s="52"/>
      <c r="DH93" s="43"/>
      <c r="DI93" s="50">
        <f t="shared" si="20"/>
        <v>5655.25</v>
      </c>
      <c r="DK93" s="52"/>
      <c r="DL93" s="43"/>
      <c r="DM93" s="50">
        <f t="shared" si="21"/>
        <v>2324.4799999999996</v>
      </c>
      <c r="DO93" s="52"/>
      <c r="DP93" s="43"/>
      <c r="DQ93" s="50">
        <f t="shared" si="22"/>
        <v>7360.81</v>
      </c>
      <c r="DT93" s="52"/>
      <c r="DU93" s="43"/>
      <c r="DV93" s="50">
        <f t="shared" si="23"/>
        <v>361.19</v>
      </c>
      <c r="DX93" s="52">
        <v>90</v>
      </c>
      <c r="DY93" s="43"/>
      <c r="DZ93" s="53">
        <f t="shared" si="24"/>
        <v>117.41</v>
      </c>
      <c r="EB93" s="52"/>
      <c r="EC93" s="43"/>
      <c r="ED93" s="53">
        <f t="shared" si="25"/>
        <v>0</v>
      </c>
      <c r="EF93" s="52"/>
      <c r="EG93" s="43"/>
      <c r="EH93" s="53">
        <f t="shared" si="26"/>
        <v>1225</v>
      </c>
      <c r="EJ93" s="65"/>
      <c r="EK93" s="7"/>
      <c r="EL93" s="53">
        <f t="shared" si="27"/>
        <v>100</v>
      </c>
      <c r="EN93" s="51">
        <f t="shared" si="28"/>
        <v>-5786.2699999999895</v>
      </c>
      <c r="EP93" s="60">
        <f t="shared" si="29"/>
        <v>0</v>
      </c>
      <c r="EQ93" s="61">
        <f t="shared" si="30"/>
        <v>0</v>
      </c>
      <c r="ER93" s="15">
        <f t="shared" si="31"/>
        <v>0</v>
      </c>
      <c r="ES93" s="163">
        <f t="shared" si="33"/>
        <v>0</v>
      </c>
      <c r="EU93">
        <v>83</v>
      </c>
    </row>
    <row r="94" spans="1:151" x14ac:dyDescent="0.45">
      <c r="A94" s="67">
        <v>45477</v>
      </c>
      <c r="B94" s="25" t="s">
        <v>790</v>
      </c>
      <c r="C94" s="10" t="s">
        <v>197</v>
      </c>
      <c r="D94" s="7"/>
      <c r="E94" s="43"/>
      <c r="F94" s="43">
        <v>13.19</v>
      </c>
      <c r="G94" s="16">
        <f t="shared" si="18"/>
        <v>11344.680000000009</v>
      </c>
      <c r="H94" s="64" t="s">
        <v>625</v>
      </c>
      <c r="I94" s="52"/>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53"/>
      <c r="AS94" s="52"/>
      <c r="AT94" s="43"/>
      <c r="AU94" s="43"/>
      <c r="AV94" s="43"/>
      <c r="AW94" s="43"/>
      <c r="AX94" s="43"/>
      <c r="AY94" s="43"/>
      <c r="AZ94" s="43">
        <v>13.19</v>
      </c>
      <c r="BA94" s="43"/>
      <c r="BB94" s="43"/>
      <c r="BC94" s="43"/>
      <c r="BD94" s="43"/>
      <c r="BE94" s="43"/>
      <c r="BF94" s="43"/>
      <c r="BG94" s="43"/>
      <c r="BH94" s="43"/>
      <c r="BI94" s="43"/>
      <c r="BJ94" s="43"/>
      <c r="BK94" s="43"/>
      <c r="BL94" s="43"/>
      <c r="BM94" s="43"/>
      <c r="BN94" s="43"/>
      <c r="BO94" s="43"/>
      <c r="BP94" s="43"/>
      <c r="BQ94" s="43"/>
      <c r="BR94" s="43"/>
      <c r="BS94" s="43"/>
      <c r="BT94" s="43"/>
      <c r="BU94" s="43"/>
      <c r="BV94" s="43"/>
      <c r="BW94" s="53"/>
      <c r="BX94" s="30">
        <f t="shared" si="17"/>
        <v>0</v>
      </c>
      <c r="BY94" s="52"/>
      <c r="BZ94" s="43"/>
      <c r="CA94" s="43"/>
      <c r="CB94" s="43"/>
      <c r="CC94" s="43"/>
      <c r="CD94" s="43"/>
      <c r="CE94" s="43"/>
      <c r="CF94" s="43"/>
      <c r="CG94" s="53"/>
      <c r="CH94" s="52"/>
      <c r="CI94" s="43"/>
      <c r="CJ94" s="43"/>
      <c r="CK94" s="43"/>
      <c r="CL94" s="43"/>
      <c r="CM94" s="43"/>
      <c r="CN94" s="43"/>
      <c r="CO94" s="43"/>
      <c r="CP94" s="43"/>
      <c r="CQ94" s="43"/>
      <c r="CR94" s="43"/>
      <c r="CS94" s="43"/>
      <c r="CT94" s="43"/>
      <c r="CU94" s="43"/>
      <c r="CV94" s="43">
        <v>13.19</v>
      </c>
      <c r="CW94" s="43"/>
      <c r="CX94" s="43"/>
      <c r="CY94" s="43"/>
      <c r="CZ94" s="7"/>
      <c r="DA94" s="7"/>
      <c r="DB94" s="43"/>
      <c r="DC94" s="43"/>
      <c r="DD94" s="53"/>
      <c r="DE94" s="73">
        <f t="shared" si="19"/>
        <v>0</v>
      </c>
      <c r="DG94" s="52"/>
      <c r="DH94" s="43"/>
      <c r="DI94" s="50">
        <f t="shared" si="20"/>
        <v>5655.25</v>
      </c>
      <c r="DK94" s="52"/>
      <c r="DL94" s="43"/>
      <c r="DM94" s="50">
        <f t="shared" si="21"/>
        <v>2324.4799999999996</v>
      </c>
      <c r="DO94" s="52"/>
      <c r="DP94" s="43">
        <v>13.19</v>
      </c>
      <c r="DQ94" s="50">
        <f t="shared" si="22"/>
        <v>7347.6200000000008</v>
      </c>
      <c r="DT94" s="52"/>
      <c r="DU94" s="43"/>
      <c r="DV94" s="50">
        <f t="shared" si="23"/>
        <v>361.19</v>
      </c>
      <c r="DX94" s="52"/>
      <c r="DY94" s="43"/>
      <c r="DZ94" s="53">
        <f t="shared" si="24"/>
        <v>117.41</v>
      </c>
      <c r="EB94" s="52"/>
      <c r="EC94" s="43"/>
      <c r="ED94" s="53">
        <f t="shared" si="25"/>
        <v>0</v>
      </c>
      <c r="EF94" s="52"/>
      <c r="EG94" s="43"/>
      <c r="EH94" s="53">
        <f t="shared" si="26"/>
        <v>1225</v>
      </c>
      <c r="EJ94" s="65"/>
      <c r="EK94" s="7"/>
      <c r="EL94" s="53">
        <f t="shared" si="27"/>
        <v>100</v>
      </c>
      <c r="EN94" s="51">
        <f t="shared" si="28"/>
        <v>-5786.2699999999904</v>
      </c>
      <c r="EP94" s="60">
        <f t="shared" si="29"/>
        <v>0</v>
      </c>
      <c r="EQ94" s="61">
        <f t="shared" si="30"/>
        <v>0</v>
      </c>
      <c r="ER94" s="15">
        <f t="shared" si="31"/>
        <v>0</v>
      </c>
      <c r="ES94" s="62">
        <f t="shared" si="33"/>
        <v>0</v>
      </c>
      <c r="EU94" s="6">
        <v>84</v>
      </c>
    </row>
    <row r="95" spans="1:151" x14ac:dyDescent="0.45">
      <c r="A95" s="67">
        <v>45477</v>
      </c>
      <c r="B95" s="25" t="s">
        <v>793</v>
      </c>
      <c r="C95" s="10" t="s">
        <v>196</v>
      </c>
      <c r="D95" s="7"/>
      <c r="E95" s="43"/>
      <c r="F95" s="43">
        <v>153</v>
      </c>
      <c r="G95" s="16">
        <f t="shared" si="18"/>
        <v>11191.680000000009</v>
      </c>
      <c r="H95" s="64" t="s">
        <v>625</v>
      </c>
      <c r="I95" s="52"/>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53"/>
      <c r="AS95" s="52"/>
      <c r="AT95" s="43"/>
      <c r="AU95" s="43"/>
      <c r="AV95" s="43"/>
      <c r="AW95" s="43"/>
      <c r="AX95" s="43"/>
      <c r="AY95" s="43"/>
      <c r="AZ95" s="43">
        <v>153</v>
      </c>
      <c r="BA95" s="43"/>
      <c r="BB95" s="43"/>
      <c r="BC95" s="43"/>
      <c r="BD95" s="43"/>
      <c r="BE95" s="43"/>
      <c r="BF95" s="43"/>
      <c r="BG95" s="43"/>
      <c r="BH95" s="43"/>
      <c r="BI95" s="43"/>
      <c r="BJ95" s="43"/>
      <c r="BK95" s="43"/>
      <c r="BL95" s="43"/>
      <c r="BM95" s="43"/>
      <c r="BN95" s="43"/>
      <c r="BO95" s="43"/>
      <c r="BP95" s="43"/>
      <c r="BQ95" s="43"/>
      <c r="BR95" s="43"/>
      <c r="BS95" s="43"/>
      <c r="BT95" s="43"/>
      <c r="BU95" s="43"/>
      <c r="BV95" s="43"/>
      <c r="BW95" s="53"/>
      <c r="BX95" s="30">
        <f t="shared" si="17"/>
        <v>0</v>
      </c>
      <c r="BY95" s="52"/>
      <c r="BZ95" s="43"/>
      <c r="CA95" s="43"/>
      <c r="CB95" s="43"/>
      <c r="CC95" s="43"/>
      <c r="CD95" s="43"/>
      <c r="CE95" s="43"/>
      <c r="CF95" s="43"/>
      <c r="CG95" s="53"/>
      <c r="CH95" s="52"/>
      <c r="CI95" s="43"/>
      <c r="CJ95" s="43"/>
      <c r="CK95" s="43"/>
      <c r="CL95" s="43"/>
      <c r="CM95" s="43"/>
      <c r="CN95" s="43">
        <v>153</v>
      </c>
      <c r="CO95" s="43"/>
      <c r="CP95" s="43"/>
      <c r="CQ95" s="43"/>
      <c r="CR95" s="43"/>
      <c r="CS95" s="43"/>
      <c r="CT95" s="43"/>
      <c r="CU95" s="43"/>
      <c r="CV95" s="43"/>
      <c r="CW95" s="43"/>
      <c r="CX95" s="43"/>
      <c r="CY95" s="43"/>
      <c r="CZ95" s="7"/>
      <c r="DA95" s="7"/>
      <c r="DB95" s="43"/>
      <c r="DC95" s="43"/>
      <c r="DD95" s="53"/>
      <c r="DE95" s="73">
        <f t="shared" si="19"/>
        <v>0</v>
      </c>
      <c r="DG95" s="52"/>
      <c r="DH95" s="43"/>
      <c r="DI95" s="50">
        <f t="shared" si="20"/>
        <v>5655.25</v>
      </c>
      <c r="DK95" s="52"/>
      <c r="DL95" s="43"/>
      <c r="DM95" s="50">
        <f t="shared" si="21"/>
        <v>2324.4799999999996</v>
      </c>
      <c r="DO95" s="52"/>
      <c r="DP95" s="43">
        <v>153</v>
      </c>
      <c r="DQ95" s="50">
        <f t="shared" si="22"/>
        <v>7194.6200000000008</v>
      </c>
      <c r="DT95" s="52"/>
      <c r="DU95" s="43"/>
      <c r="DV95" s="50">
        <f t="shared" si="23"/>
        <v>361.19</v>
      </c>
      <c r="DX95" s="52"/>
      <c r="DY95" s="43"/>
      <c r="DZ95" s="53">
        <f t="shared" si="24"/>
        <v>117.41</v>
      </c>
      <c r="EB95" s="52"/>
      <c r="EC95" s="43"/>
      <c r="ED95" s="53">
        <f t="shared" si="25"/>
        <v>0</v>
      </c>
      <c r="EF95" s="52"/>
      <c r="EG95" s="43"/>
      <c r="EH95" s="53">
        <f t="shared" si="26"/>
        <v>1225</v>
      </c>
      <c r="EJ95" s="65"/>
      <c r="EK95" s="7"/>
      <c r="EL95" s="53">
        <f t="shared" si="27"/>
        <v>100</v>
      </c>
      <c r="EN95" s="51">
        <f t="shared" si="28"/>
        <v>-5786.2699999999904</v>
      </c>
      <c r="EP95" s="60">
        <f t="shared" si="29"/>
        <v>0</v>
      </c>
      <c r="EQ95" s="61">
        <f t="shared" si="30"/>
        <v>0</v>
      </c>
      <c r="ER95" s="15">
        <f t="shared" si="31"/>
        <v>0</v>
      </c>
      <c r="ES95" s="163">
        <f t="shared" si="33"/>
        <v>0</v>
      </c>
      <c r="EU95">
        <v>85</v>
      </c>
    </row>
    <row r="96" spans="1:151" x14ac:dyDescent="0.45">
      <c r="A96" s="219">
        <v>45477</v>
      </c>
      <c r="B96" s="70" t="s">
        <v>791</v>
      </c>
      <c r="C96" s="10" t="s">
        <v>195</v>
      </c>
      <c r="D96" s="7"/>
      <c r="E96" s="43"/>
      <c r="F96" s="43">
        <v>25</v>
      </c>
      <c r="G96" s="16">
        <f t="shared" si="18"/>
        <v>11166.680000000009</v>
      </c>
      <c r="H96" s="64" t="s">
        <v>625</v>
      </c>
      <c r="I96" s="52"/>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53"/>
      <c r="AS96" s="52"/>
      <c r="AT96" s="43"/>
      <c r="AU96" s="43"/>
      <c r="AV96" s="43"/>
      <c r="AW96" s="43"/>
      <c r="AX96" s="43"/>
      <c r="AY96" s="43"/>
      <c r="AZ96" s="43"/>
      <c r="BA96" s="43"/>
      <c r="BB96" s="43">
        <v>25</v>
      </c>
      <c r="BC96" s="43"/>
      <c r="BD96" s="43"/>
      <c r="BE96" s="43"/>
      <c r="BF96" s="43"/>
      <c r="BG96" s="43"/>
      <c r="BH96" s="43"/>
      <c r="BI96" s="43"/>
      <c r="BJ96" s="43"/>
      <c r="BK96" s="43"/>
      <c r="BL96" s="43"/>
      <c r="BM96" s="43"/>
      <c r="BN96" s="43"/>
      <c r="BO96" s="43"/>
      <c r="BP96" s="43"/>
      <c r="BQ96" s="43"/>
      <c r="BR96" s="43"/>
      <c r="BS96" s="43"/>
      <c r="BT96" s="43"/>
      <c r="BU96" s="43"/>
      <c r="BV96" s="43"/>
      <c r="BW96" s="53"/>
      <c r="BX96" s="30">
        <f t="shared" si="17"/>
        <v>0</v>
      </c>
      <c r="BY96" s="52"/>
      <c r="BZ96" s="43"/>
      <c r="CA96" s="43"/>
      <c r="CB96" s="43"/>
      <c r="CC96" s="43"/>
      <c r="CD96" s="43"/>
      <c r="CE96" s="43"/>
      <c r="CF96" s="43"/>
      <c r="CG96" s="53"/>
      <c r="CH96" s="52"/>
      <c r="CI96" s="43"/>
      <c r="CJ96" s="43"/>
      <c r="CK96" s="43"/>
      <c r="CL96" s="43"/>
      <c r="CM96" s="43"/>
      <c r="CN96" s="43"/>
      <c r="CO96" s="43"/>
      <c r="CP96" s="43"/>
      <c r="CQ96" s="43"/>
      <c r="CR96" s="43"/>
      <c r="CS96" s="43"/>
      <c r="CT96" s="43"/>
      <c r="CU96" s="43"/>
      <c r="CV96" s="43"/>
      <c r="CW96" s="43"/>
      <c r="CX96" s="43"/>
      <c r="CY96" s="43"/>
      <c r="CZ96" s="7"/>
      <c r="DA96" s="7"/>
      <c r="DB96" s="43"/>
      <c r="DC96" s="43">
        <v>25</v>
      </c>
      <c r="DD96" s="53"/>
      <c r="DE96" s="73">
        <f t="shared" si="19"/>
        <v>0</v>
      </c>
      <c r="DG96" s="52"/>
      <c r="DH96" s="43"/>
      <c r="DI96" s="50">
        <f t="shared" si="20"/>
        <v>5655.25</v>
      </c>
      <c r="DK96" s="52"/>
      <c r="DL96" s="43"/>
      <c r="DM96" s="50">
        <f t="shared" si="21"/>
        <v>2324.4799999999996</v>
      </c>
      <c r="DO96" s="52"/>
      <c r="DP96" s="43"/>
      <c r="DQ96" s="50">
        <f t="shared" si="22"/>
        <v>7194.6200000000008</v>
      </c>
      <c r="DT96" s="52"/>
      <c r="DU96" s="43"/>
      <c r="DV96" s="50">
        <f t="shared" si="23"/>
        <v>361.19</v>
      </c>
      <c r="DX96" s="52"/>
      <c r="DY96" s="43"/>
      <c r="DZ96" s="53">
        <f t="shared" si="24"/>
        <v>117.41</v>
      </c>
      <c r="EB96" s="52"/>
      <c r="EC96" s="43"/>
      <c r="ED96" s="53">
        <f t="shared" si="25"/>
        <v>0</v>
      </c>
      <c r="EF96" s="52"/>
      <c r="EG96" s="43">
        <v>25</v>
      </c>
      <c r="EH96" s="53">
        <f t="shared" si="26"/>
        <v>1200</v>
      </c>
      <c r="EJ96" s="65"/>
      <c r="EK96" s="7"/>
      <c r="EL96" s="53">
        <f t="shared" si="27"/>
        <v>100</v>
      </c>
      <c r="EN96" s="51">
        <f t="shared" si="28"/>
        <v>-5786.2699999999904</v>
      </c>
      <c r="EP96" s="60">
        <f t="shared" si="29"/>
        <v>0</v>
      </c>
      <c r="EQ96" s="61">
        <f t="shared" si="30"/>
        <v>0</v>
      </c>
      <c r="ER96" s="15">
        <f t="shared" si="31"/>
        <v>0</v>
      </c>
      <c r="ES96" s="62">
        <f t="shared" si="33"/>
        <v>0</v>
      </c>
      <c r="EU96" s="6">
        <v>86</v>
      </c>
    </row>
    <row r="97" spans="1:151" x14ac:dyDescent="0.45">
      <c r="A97" s="67">
        <v>45477</v>
      </c>
      <c r="B97" s="6" t="s">
        <v>794</v>
      </c>
      <c r="C97" s="10" t="s">
        <v>618</v>
      </c>
      <c r="D97" s="7"/>
      <c r="E97" s="43"/>
      <c r="F97" s="43">
        <v>166.5</v>
      </c>
      <c r="G97" s="16">
        <f t="shared" si="18"/>
        <v>11000.180000000009</v>
      </c>
      <c r="H97" s="64" t="s">
        <v>625</v>
      </c>
      <c r="I97" s="52"/>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53"/>
      <c r="AS97" s="52"/>
      <c r="AT97" s="43"/>
      <c r="AU97" s="43"/>
      <c r="AV97" s="43"/>
      <c r="AW97" s="43"/>
      <c r="AX97" s="43">
        <f>166.5/3</f>
        <v>55.5</v>
      </c>
      <c r="AY97" s="43">
        <v>55.5</v>
      </c>
      <c r="AZ97" s="43">
        <v>55.5</v>
      </c>
      <c r="BA97" s="43"/>
      <c r="BB97" s="43"/>
      <c r="BC97" s="43"/>
      <c r="BD97" s="43"/>
      <c r="BE97" s="43"/>
      <c r="BF97" s="43"/>
      <c r="BG97" s="43"/>
      <c r="BH97" s="43"/>
      <c r="BI97" s="43"/>
      <c r="BJ97" s="43"/>
      <c r="BK97" s="43"/>
      <c r="BL97" s="43"/>
      <c r="BM97" s="43"/>
      <c r="BN97" s="43"/>
      <c r="BO97" s="43"/>
      <c r="BP97" s="43"/>
      <c r="BQ97" s="43"/>
      <c r="BR97" s="43"/>
      <c r="BS97" s="43"/>
      <c r="BT97" s="43"/>
      <c r="BU97" s="43"/>
      <c r="BV97" s="43"/>
      <c r="BW97" s="53"/>
      <c r="BX97" s="30">
        <f t="shared" si="17"/>
        <v>0</v>
      </c>
      <c r="BY97" s="52"/>
      <c r="BZ97" s="43"/>
      <c r="CA97" s="43"/>
      <c r="CB97" s="43"/>
      <c r="CC97" s="43"/>
      <c r="CD97" s="43"/>
      <c r="CE97" s="43"/>
      <c r="CF97" s="43"/>
      <c r="CG97" s="53"/>
      <c r="CH97" s="52"/>
      <c r="CI97" s="43"/>
      <c r="CJ97" s="43"/>
      <c r="CK97" s="43"/>
      <c r="CL97" s="43">
        <v>166.5</v>
      </c>
      <c r="CM97" s="43"/>
      <c r="CN97" s="43"/>
      <c r="CO97" s="43"/>
      <c r="CP97" s="43"/>
      <c r="CQ97" s="43"/>
      <c r="CR97" s="43"/>
      <c r="CS97" s="43"/>
      <c r="CT97" s="43"/>
      <c r="CU97" s="43"/>
      <c r="CV97" s="43"/>
      <c r="CW97" s="43"/>
      <c r="CX97" s="43"/>
      <c r="CY97" s="43"/>
      <c r="CZ97" s="7"/>
      <c r="DA97" s="7"/>
      <c r="DB97" s="43"/>
      <c r="DC97" s="43"/>
      <c r="DD97" s="53"/>
      <c r="DE97" s="73">
        <f t="shared" si="19"/>
        <v>0</v>
      </c>
      <c r="DG97" s="52"/>
      <c r="DH97" s="43">
        <v>55.5</v>
      </c>
      <c r="DI97" s="50">
        <f t="shared" si="20"/>
        <v>5599.75</v>
      </c>
      <c r="DK97" s="52"/>
      <c r="DL97" s="43">
        <v>55.5</v>
      </c>
      <c r="DM97" s="50">
        <f t="shared" si="21"/>
        <v>2268.9799999999996</v>
      </c>
      <c r="DO97" s="52"/>
      <c r="DP97" s="43">
        <f>166.5/3</f>
        <v>55.5</v>
      </c>
      <c r="DQ97" s="50">
        <f t="shared" si="22"/>
        <v>7139.1200000000008</v>
      </c>
      <c r="DT97" s="52"/>
      <c r="DU97" s="43"/>
      <c r="DV97" s="50">
        <f t="shared" si="23"/>
        <v>361.19</v>
      </c>
      <c r="DX97" s="52"/>
      <c r="DY97" s="43"/>
      <c r="DZ97" s="53">
        <f t="shared" si="24"/>
        <v>117.41</v>
      </c>
      <c r="EB97" s="52"/>
      <c r="EC97" s="43"/>
      <c r="ED97" s="53">
        <f t="shared" si="25"/>
        <v>0</v>
      </c>
      <c r="EF97" s="52"/>
      <c r="EG97" s="43"/>
      <c r="EH97" s="53">
        <f t="shared" si="26"/>
        <v>1200</v>
      </c>
      <c r="EJ97" s="65"/>
      <c r="EK97" s="7"/>
      <c r="EL97" s="53">
        <f t="shared" si="27"/>
        <v>100</v>
      </c>
      <c r="EN97" s="51">
        <f t="shared" si="28"/>
        <v>-5786.2699999999904</v>
      </c>
      <c r="EP97" s="60">
        <f t="shared" si="29"/>
        <v>0</v>
      </c>
      <c r="EQ97" s="61">
        <f t="shared" si="30"/>
        <v>0</v>
      </c>
      <c r="ER97" s="15">
        <f t="shared" si="31"/>
        <v>0</v>
      </c>
      <c r="ES97" s="163">
        <f t="shared" si="33"/>
        <v>0</v>
      </c>
      <c r="EU97">
        <v>87</v>
      </c>
    </row>
    <row r="98" spans="1:151" x14ac:dyDescent="0.45">
      <c r="A98" s="67">
        <v>45490</v>
      </c>
      <c r="B98" s="25" t="s">
        <v>781</v>
      </c>
      <c r="C98" s="10" t="s">
        <v>647</v>
      </c>
      <c r="D98" s="7"/>
      <c r="E98" s="43">
        <v>500</v>
      </c>
      <c r="F98" s="43"/>
      <c r="G98" s="16">
        <f t="shared" si="18"/>
        <v>11500.180000000009</v>
      </c>
      <c r="H98" s="64" t="s">
        <v>625</v>
      </c>
      <c r="I98" s="52"/>
      <c r="J98" s="43"/>
      <c r="K98" s="43"/>
      <c r="L98" s="43"/>
      <c r="M98" s="43"/>
      <c r="N98" s="43"/>
      <c r="O98" s="43"/>
      <c r="P98" s="43"/>
      <c r="Q98" s="43"/>
      <c r="R98" s="43"/>
      <c r="S98" s="43"/>
      <c r="T98" s="43"/>
      <c r="U98" s="43"/>
      <c r="V98" s="43"/>
      <c r="W98" s="43"/>
      <c r="X98" s="43"/>
      <c r="Y98" s="43"/>
      <c r="Z98" s="43"/>
      <c r="AA98" s="43"/>
      <c r="AB98" s="43">
        <v>500</v>
      </c>
      <c r="AC98" s="43"/>
      <c r="AD98" s="43"/>
      <c r="AE98" s="43"/>
      <c r="AF98" s="43"/>
      <c r="AG98" s="43"/>
      <c r="AH98" s="43"/>
      <c r="AI98" s="43"/>
      <c r="AJ98" s="43"/>
      <c r="AK98" s="43"/>
      <c r="AL98" s="43"/>
      <c r="AM98" s="43"/>
      <c r="AN98" s="43"/>
      <c r="AO98" s="43"/>
      <c r="AP98" s="43"/>
      <c r="AQ98" s="43"/>
      <c r="AR98" s="53"/>
      <c r="AS98" s="52"/>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53"/>
      <c r="BX98" s="30">
        <f t="shared" si="17"/>
        <v>0</v>
      </c>
      <c r="BY98" s="52"/>
      <c r="BZ98" s="43"/>
      <c r="CA98" s="43"/>
      <c r="CB98" s="43"/>
      <c r="CC98" s="43"/>
      <c r="CD98" s="43"/>
      <c r="CE98" s="43"/>
      <c r="CF98" s="43"/>
      <c r="CG98" s="53">
        <v>500</v>
      </c>
      <c r="CH98" s="52"/>
      <c r="CI98" s="43"/>
      <c r="CJ98" s="43"/>
      <c r="CK98" s="43"/>
      <c r="CL98" s="43"/>
      <c r="CM98" s="43"/>
      <c r="CN98" s="43"/>
      <c r="CO98" s="43"/>
      <c r="CP98" s="43"/>
      <c r="CQ98" s="43"/>
      <c r="CR98" s="43"/>
      <c r="CS98" s="43"/>
      <c r="CT98" s="43"/>
      <c r="CU98" s="43"/>
      <c r="CV98" s="43"/>
      <c r="CW98" s="43"/>
      <c r="CX98" s="43"/>
      <c r="CY98" s="43"/>
      <c r="CZ98" s="7"/>
      <c r="DA98" s="7"/>
      <c r="DB98" s="43"/>
      <c r="DC98" s="43"/>
      <c r="DD98" s="53"/>
      <c r="DE98" s="73">
        <f t="shared" si="19"/>
        <v>0</v>
      </c>
      <c r="DG98" s="52"/>
      <c r="DH98" s="43"/>
      <c r="DI98" s="50">
        <f t="shared" si="20"/>
        <v>5599.75</v>
      </c>
      <c r="DK98" s="52"/>
      <c r="DL98" s="43"/>
      <c r="DM98" s="50">
        <f t="shared" si="21"/>
        <v>2268.9799999999996</v>
      </c>
      <c r="DO98" s="52"/>
      <c r="DP98" s="43"/>
      <c r="DQ98" s="50">
        <f t="shared" si="22"/>
        <v>7139.1200000000008</v>
      </c>
      <c r="DT98" s="52"/>
      <c r="DU98" s="43"/>
      <c r="DV98" s="50">
        <f t="shared" si="23"/>
        <v>361.19</v>
      </c>
      <c r="DX98" s="52">
        <v>500</v>
      </c>
      <c r="DY98" s="43"/>
      <c r="DZ98" s="53">
        <f t="shared" si="24"/>
        <v>617.41</v>
      </c>
      <c r="EB98" s="52"/>
      <c r="EC98" s="43"/>
      <c r="ED98" s="53">
        <f t="shared" si="25"/>
        <v>0</v>
      </c>
      <c r="EF98" s="52"/>
      <c r="EG98" s="43"/>
      <c r="EH98" s="53">
        <f t="shared" si="26"/>
        <v>1200</v>
      </c>
      <c r="EJ98" s="65"/>
      <c r="EK98" s="7"/>
      <c r="EL98" s="53">
        <f t="shared" si="27"/>
        <v>100</v>
      </c>
      <c r="EN98" s="51">
        <f t="shared" si="28"/>
        <v>-5786.2699999999904</v>
      </c>
      <c r="EP98" s="60">
        <f t="shared" si="29"/>
        <v>0</v>
      </c>
      <c r="EQ98" s="61">
        <f t="shared" si="30"/>
        <v>0</v>
      </c>
      <c r="ER98" s="15">
        <f t="shared" si="31"/>
        <v>0</v>
      </c>
      <c r="ES98" s="62">
        <f t="shared" si="33"/>
        <v>0</v>
      </c>
      <c r="ET98" t="s">
        <v>1004</v>
      </c>
      <c r="EU98" s="6">
        <v>88</v>
      </c>
    </row>
    <row r="99" spans="1:151" x14ac:dyDescent="0.45">
      <c r="A99" s="67">
        <v>45491</v>
      </c>
      <c r="B99" s="25" t="s">
        <v>795</v>
      </c>
      <c r="C99" s="10" t="s">
        <v>619</v>
      </c>
      <c r="D99" s="7"/>
      <c r="E99" s="43"/>
      <c r="F99" s="43">
        <v>177.6</v>
      </c>
      <c r="G99" s="16">
        <f t="shared" si="18"/>
        <v>11322.580000000009</v>
      </c>
      <c r="H99" s="64" t="s">
        <v>625</v>
      </c>
      <c r="I99" s="52"/>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53"/>
      <c r="AS99" s="52"/>
      <c r="AT99" s="43"/>
      <c r="AU99" s="43"/>
      <c r="AV99" s="43"/>
      <c r="AW99" s="43"/>
      <c r="AX99" s="43">
        <v>17.600000000000001</v>
      </c>
      <c r="AY99" s="43"/>
      <c r="AZ99" s="43"/>
      <c r="BA99" s="43"/>
      <c r="BB99" s="43">
        <v>160</v>
      </c>
      <c r="BC99" s="43"/>
      <c r="BD99" s="43"/>
      <c r="BE99" s="43"/>
      <c r="BF99" s="43"/>
      <c r="BG99" s="43"/>
      <c r="BH99" s="43"/>
      <c r="BI99" s="43"/>
      <c r="BJ99" s="43"/>
      <c r="BK99" s="43"/>
      <c r="BL99" s="43"/>
      <c r="BM99" s="43"/>
      <c r="BN99" s="43"/>
      <c r="BO99" s="43"/>
      <c r="BP99" s="43"/>
      <c r="BQ99" s="43"/>
      <c r="BR99" s="43"/>
      <c r="BS99" s="43"/>
      <c r="BT99" s="43"/>
      <c r="BU99" s="43"/>
      <c r="BV99" s="43"/>
      <c r="BW99" s="53"/>
      <c r="BX99" s="30">
        <f t="shared" si="17"/>
        <v>0</v>
      </c>
      <c r="BY99" s="52"/>
      <c r="BZ99" s="43"/>
      <c r="CA99" s="43"/>
      <c r="CB99" s="43"/>
      <c r="CC99" s="43"/>
      <c r="CD99" s="43"/>
      <c r="CE99" s="43"/>
      <c r="CF99" s="43"/>
      <c r="CG99" s="53"/>
      <c r="CH99" s="52"/>
      <c r="CI99" s="43"/>
      <c r="CJ99" s="43"/>
      <c r="CK99" s="43"/>
      <c r="CL99" s="43"/>
      <c r="CM99" s="43"/>
      <c r="CN99" s="43"/>
      <c r="CO99" s="43"/>
      <c r="CP99" s="43"/>
      <c r="CQ99" s="43">
        <v>17.600000000000001</v>
      </c>
      <c r="CR99" s="43"/>
      <c r="CS99" s="43"/>
      <c r="CT99" s="43"/>
      <c r="CU99" s="43"/>
      <c r="CV99" s="43"/>
      <c r="CW99" s="43"/>
      <c r="CX99" s="43"/>
      <c r="CY99" s="43"/>
      <c r="CZ99" s="7"/>
      <c r="DA99" s="7">
        <v>160</v>
      </c>
      <c r="DB99" s="43"/>
      <c r="DC99" s="43"/>
      <c r="DD99" s="53"/>
      <c r="DE99" s="73">
        <f t="shared" si="19"/>
        <v>0</v>
      </c>
      <c r="DG99" s="52"/>
      <c r="DH99" s="43">
        <v>17.600000000000001</v>
      </c>
      <c r="DI99" s="50">
        <f t="shared" si="20"/>
        <v>5582.15</v>
      </c>
      <c r="DK99" s="52"/>
      <c r="DL99" s="43"/>
      <c r="DM99" s="50">
        <f t="shared" si="21"/>
        <v>2268.9799999999996</v>
      </c>
      <c r="DO99" s="52"/>
      <c r="DP99" s="43"/>
      <c r="DQ99" s="50">
        <f t="shared" si="22"/>
        <v>7139.1200000000008</v>
      </c>
      <c r="DT99" s="52"/>
      <c r="DU99" s="43"/>
      <c r="DV99" s="50">
        <f t="shared" si="23"/>
        <v>361.19</v>
      </c>
      <c r="DX99" s="52"/>
      <c r="DY99" s="43">
        <v>160</v>
      </c>
      <c r="DZ99" s="53">
        <f t="shared" si="24"/>
        <v>457.40999999999997</v>
      </c>
      <c r="EB99" s="52"/>
      <c r="EC99" s="43"/>
      <c r="ED99" s="53">
        <f t="shared" si="25"/>
        <v>0</v>
      </c>
      <c r="EF99" s="52"/>
      <c r="EG99" s="43"/>
      <c r="EH99" s="53">
        <f t="shared" si="26"/>
        <v>1200</v>
      </c>
      <c r="EJ99" s="65"/>
      <c r="EK99" s="7"/>
      <c r="EL99" s="53">
        <f t="shared" si="27"/>
        <v>100</v>
      </c>
      <c r="EN99" s="51">
        <f t="shared" si="28"/>
        <v>-5786.2699999999904</v>
      </c>
      <c r="EP99" s="60">
        <f t="shared" si="29"/>
        <v>0</v>
      </c>
      <c r="EQ99" s="61">
        <f t="shared" si="30"/>
        <v>0</v>
      </c>
      <c r="ER99" s="15">
        <f t="shared" si="31"/>
        <v>0</v>
      </c>
      <c r="ES99" s="163">
        <f t="shared" si="33"/>
        <v>0</v>
      </c>
      <c r="EU99">
        <v>89</v>
      </c>
    </row>
    <row r="100" spans="1:151" x14ac:dyDescent="0.45">
      <c r="A100" s="67">
        <v>45491</v>
      </c>
      <c r="B100" s="6" t="s">
        <v>796</v>
      </c>
      <c r="C100" s="10" t="s">
        <v>198</v>
      </c>
      <c r="D100" s="7"/>
      <c r="E100" s="43"/>
      <c r="F100" s="43">
        <v>74.7</v>
      </c>
      <c r="G100" s="16">
        <f t="shared" si="18"/>
        <v>11247.880000000008</v>
      </c>
      <c r="H100" s="64" t="s">
        <v>625</v>
      </c>
      <c r="I100" s="52"/>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53"/>
      <c r="AS100" s="52"/>
      <c r="AT100" s="43"/>
      <c r="AU100" s="43"/>
      <c r="AV100" s="43"/>
      <c r="AW100" s="43"/>
      <c r="AX100" s="43"/>
      <c r="AY100" s="43"/>
      <c r="AZ100" s="43"/>
      <c r="BA100" s="43"/>
      <c r="BB100" s="43">
        <v>74.7</v>
      </c>
      <c r="BC100" s="43"/>
      <c r="BD100" s="43"/>
      <c r="BE100" s="43"/>
      <c r="BF100" s="43"/>
      <c r="BG100" s="43"/>
      <c r="BH100" s="43"/>
      <c r="BI100" s="43"/>
      <c r="BJ100" s="43"/>
      <c r="BK100" s="43"/>
      <c r="BL100" s="43"/>
      <c r="BM100" s="43"/>
      <c r="BN100" s="43"/>
      <c r="BO100" s="43"/>
      <c r="BP100" s="43"/>
      <c r="BQ100" s="43"/>
      <c r="BR100" s="43"/>
      <c r="BS100" s="43"/>
      <c r="BT100" s="43"/>
      <c r="BU100" s="43"/>
      <c r="BV100" s="43"/>
      <c r="BW100" s="53"/>
      <c r="BX100" s="30">
        <f t="shared" si="17"/>
        <v>0</v>
      </c>
      <c r="BY100" s="52"/>
      <c r="BZ100" s="43"/>
      <c r="CA100" s="43"/>
      <c r="CB100" s="43"/>
      <c r="CC100" s="43"/>
      <c r="CD100" s="43"/>
      <c r="CE100" s="43"/>
      <c r="CF100" s="43"/>
      <c r="CG100" s="53"/>
      <c r="CH100" s="52"/>
      <c r="CI100" s="43"/>
      <c r="CJ100" s="43"/>
      <c r="CK100" s="43"/>
      <c r="CL100" s="43"/>
      <c r="CM100" s="43"/>
      <c r="CN100" s="43"/>
      <c r="CO100" s="43"/>
      <c r="CP100" s="43"/>
      <c r="CQ100" s="43"/>
      <c r="CR100" s="43"/>
      <c r="CS100" s="43"/>
      <c r="CT100" s="43"/>
      <c r="CU100" s="43"/>
      <c r="CV100" s="43"/>
      <c r="CW100" s="43"/>
      <c r="CX100" s="43"/>
      <c r="CY100" s="43"/>
      <c r="CZ100" s="7">
        <v>74.7</v>
      </c>
      <c r="DA100" s="7"/>
      <c r="DB100" s="43"/>
      <c r="DC100" s="43"/>
      <c r="DD100" s="53"/>
      <c r="DE100" s="73">
        <f t="shared" si="19"/>
        <v>0</v>
      </c>
      <c r="DG100" s="52"/>
      <c r="DH100" s="43"/>
      <c r="DI100" s="50">
        <f t="shared" si="20"/>
        <v>5582.15</v>
      </c>
      <c r="DK100" s="52"/>
      <c r="DL100" s="43"/>
      <c r="DM100" s="50">
        <f t="shared" si="21"/>
        <v>2268.9799999999996</v>
      </c>
      <c r="DO100" s="52"/>
      <c r="DP100" s="43"/>
      <c r="DQ100" s="50">
        <f t="shared" si="22"/>
        <v>7139.1200000000008</v>
      </c>
      <c r="DT100" s="52"/>
      <c r="DU100" s="43"/>
      <c r="DV100" s="50">
        <f t="shared" si="23"/>
        <v>361.19</v>
      </c>
      <c r="DX100" s="52"/>
      <c r="DY100" s="43"/>
      <c r="DZ100" s="53">
        <f t="shared" si="24"/>
        <v>457.40999999999997</v>
      </c>
      <c r="EB100" s="52"/>
      <c r="EC100" s="43"/>
      <c r="ED100" s="53">
        <f t="shared" si="25"/>
        <v>0</v>
      </c>
      <c r="EF100" s="52"/>
      <c r="EG100" s="43"/>
      <c r="EH100" s="53">
        <f t="shared" si="26"/>
        <v>1200</v>
      </c>
      <c r="EJ100" s="65"/>
      <c r="EK100" s="7">
        <v>74.7</v>
      </c>
      <c r="EL100" s="53">
        <f t="shared" si="27"/>
        <v>25.299999999999997</v>
      </c>
      <c r="EN100" s="51">
        <f t="shared" si="28"/>
        <v>-5786.2699999999913</v>
      </c>
      <c r="EP100" s="60">
        <f t="shared" si="29"/>
        <v>0</v>
      </c>
      <c r="EQ100" s="61">
        <f t="shared" si="30"/>
        <v>0</v>
      </c>
      <c r="ER100" s="15">
        <f t="shared" si="31"/>
        <v>0</v>
      </c>
      <c r="ES100" s="62">
        <f t="shared" si="33"/>
        <v>0</v>
      </c>
      <c r="EU100" s="6">
        <v>90</v>
      </c>
    </row>
    <row r="101" spans="1:151" x14ac:dyDescent="0.45">
      <c r="A101" s="67">
        <v>45491</v>
      </c>
      <c r="B101" s="25" t="s">
        <v>797</v>
      </c>
      <c r="C101" s="10" t="s">
        <v>199</v>
      </c>
      <c r="D101" s="7"/>
      <c r="E101" s="43"/>
      <c r="F101" s="43">
        <v>120</v>
      </c>
      <c r="G101" s="16">
        <f t="shared" si="18"/>
        <v>11127.880000000008</v>
      </c>
      <c r="H101" s="64" t="s">
        <v>625</v>
      </c>
      <c r="I101" s="52"/>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53"/>
      <c r="AS101" s="52"/>
      <c r="AT101" s="43"/>
      <c r="AU101" s="43"/>
      <c r="AV101" s="43"/>
      <c r="AW101" s="43"/>
      <c r="AX101" s="43"/>
      <c r="AY101" s="43"/>
      <c r="AZ101" s="43"/>
      <c r="BA101" s="43"/>
      <c r="BB101" s="43">
        <v>120</v>
      </c>
      <c r="BC101" s="43"/>
      <c r="BD101" s="43"/>
      <c r="BE101" s="43"/>
      <c r="BF101" s="43"/>
      <c r="BG101" s="43"/>
      <c r="BH101" s="43"/>
      <c r="BI101" s="43"/>
      <c r="BJ101" s="43"/>
      <c r="BK101" s="43"/>
      <c r="BL101" s="43"/>
      <c r="BM101" s="43"/>
      <c r="BN101" s="43"/>
      <c r="BO101" s="43"/>
      <c r="BP101" s="43"/>
      <c r="BQ101" s="43"/>
      <c r="BR101" s="43"/>
      <c r="BS101" s="43"/>
      <c r="BT101" s="43"/>
      <c r="BU101" s="43"/>
      <c r="BV101" s="43"/>
      <c r="BW101" s="53"/>
      <c r="BX101" s="30">
        <f t="shared" si="17"/>
        <v>0</v>
      </c>
      <c r="BY101" s="52"/>
      <c r="BZ101" s="43"/>
      <c r="CA101" s="43"/>
      <c r="CB101" s="43"/>
      <c r="CC101" s="43"/>
      <c r="CD101" s="43"/>
      <c r="CE101" s="43"/>
      <c r="CF101" s="43"/>
      <c r="CG101" s="53"/>
      <c r="CH101" s="52"/>
      <c r="CI101" s="43"/>
      <c r="CJ101" s="43"/>
      <c r="CK101" s="43"/>
      <c r="CL101" s="43"/>
      <c r="CM101" s="43"/>
      <c r="CN101" s="43"/>
      <c r="CO101" s="43"/>
      <c r="CP101" s="43"/>
      <c r="CQ101" s="43"/>
      <c r="CR101" s="43"/>
      <c r="CS101" s="43"/>
      <c r="CT101" s="43"/>
      <c r="CU101" s="43"/>
      <c r="CV101" s="43"/>
      <c r="CW101" s="43"/>
      <c r="CX101" s="43"/>
      <c r="CY101" s="43"/>
      <c r="CZ101" s="7"/>
      <c r="DA101" s="7"/>
      <c r="DB101" s="43"/>
      <c r="DC101" s="43"/>
      <c r="DD101" s="53">
        <v>120</v>
      </c>
      <c r="DE101" s="73">
        <f t="shared" si="19"/>
        <v>0</v>
      </c>
      <c r="DG101" s="52"/>
      <c r="DH101" s="43"/>
      <c r="DI101" s="50">
        <f t="shared" si="20"/>
        <v>5582.15</v>
      </c>
      <c r="DK101" s="52"/>
      <c r="DL101" s="43"/>
      <c r="DM101" s="50">
        <f t="shared" si="21"/>
        <v>2268.9799999999996</v>
      </c>
      <c r="DO101" s="52"/>
      <c r="DP101" s="43"/>
      <c r="DQ101" s="50">
        <f t="shared" si="22"/>
        <v>7139.1200000000008</v>
      </c>
      <c r="DT101" s="52"/>
      <c r="DU101" s="43"/>
      <c r="DV101" s="50">
        <f t="shared" si="23"/>
        <v>361.19</v>
      </c>
      <c r="DX101" s="52"/>
      <c r="DY101" s="43">
        <v>120</v>
      </c>
      <c r="DZ101" s="53">
        <f t="shared" si="24"/>
        <v>337.40999999999997</v>
      </c>
      <c r="EB101" s="52"/>
      <c r="EC101" s="43"/>
      <c r="ED101" s="53">
        <f t="shared" si="25"/>
        <v>0</v>
      </c>
      <c r="EF101" s="52"/>
      <c r="EG101" s="43"/>
      <c r="EH101" s="53">
        <f t="shared" si="26"/>
        <v>1200</v>
      </c>
      <c r="EJ101" s="65"/>
      <c r="EK101" s="7"/>
      <c r="EL101" s="53">
        <f t="shared" si="27"/>
        <v>25.299999999999997</v>
      </c>
      <c r="EN101" s="51">
        <f t="shared" si="28"/>
        <v>-5786.2699999999913</v>
      </c>
      <c r="EP101" s="60">
        <f t="shared" si="29"/>
        <v>0</v>
      </c>
      <c r="EQ101" s="61">
        <f t="shared" si="30"/>
        <v>0</v>
      </c>
      <c r="ER101" s="15">
        <f t="shared" si="31"/>
        <v>0</v>
      </c>
      <c r="ES101" s="163">
        <f t="shared" si="33"/>
        <v>0</v>
      </c>
      <c r="EU101">
        <v>91</v>
      </c>
    </row>
    <row r="102" spans="1:151" x14ac:dyDescent="0.45">
      <c r="A102" s="67">
        <v>45497</v>
      </c>
      <c r="B102" s="25" t="s">
        <v>789</v>
      </c>
      <c r="C102" s="10" t="s">
        <v>798</v>
      </c>
      <c r="D102" s="7"/>
      <c r="E102" s="43">
        <v>30</v>
      </c>
      <c r="F102" s="43"/>
      <c r="G102" s="16">
        <f t="shared" si="18"/>
        <v>11157.880000000008</v>
      </c>
      <c r="H102" s="64" t="s">
        <v>625</v>
      </c>
      <c r="I102" s="52"/>
      <c r="J102" s="43"/>
      <c r="K102" s="43"/>
      <c r="L102" s="43"/>
      <c r="M102" s="43"/>
      <c r="N102" s="43"/>
      <c r="O102" s="43"/>
      <c r="P102" s="43"/>
      <c r="Q102" s="43"/>
      <c r="R102" s="43"/>
      <c r="S102" s="43"/>
      <c r="T102" s="43"/>
      <c r="U102" s="43"/>
      <c r="V102" s="43"/>
      <c r="W102" s="43"/>
      <c r="X102" s="43"/>
      <c r="Y102" s="43"/>
      <c r="Z102" s="43"/>
      <c r="AA102" s="43"/>
      <c r="AB102" s="43">
        <v>30</v>
      </c>
      <c r="AC102" s="43"/>
      <c r="AD102" s="43"/>
      <c r="AE102" s="43"/>
      <c r="AF102" s="43"/>
      <c r="AG102" s="43"/>
      <c r="AH102" s="43"/>
      <c r="AI102" s="43"/>
      <c r="AJ102" s="43"/>
      <c r="AK102" s="43"/>
      <c r="AL102" s="43"/>
      <c r="AM102" s="43"/>
      <c r="AN102" s="43"/>
      <c r="AO102" s="43"/>
      <c r="AP102" s="43"/>
      <c r="AQ102" s="43"/>
      <c r="AR102" s="53"/>
      <c r="AS102" s="52"/>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53"/>
      <c r="BX102" s="30">
        <f t="shared" si="17"/>
        <v>0</v>
      </c>
      <c r="BY102" s="52">
        <v>30</v>
      </c>
      <c r="BZ102" s="43"/>
      <c r="CA102" s="43"/>
      <c r="CB102" s="43"/>
      <c r="CC102" s="43"/>
      <c r="CD102" s="43"/>
      <c r="CE102" s="43"/>
      <c r="CF102" s="43"/>
      <c r="CG102" s="53"/>
      <c r="CH102" s="52"/>
      <c r="CI102" s="43"/>
      <c r="CJ102" s="43"/>
      <c r="CK102" s="43"/>
      <c r="CL102" s="43"/>
      <c r="CM102" s="43"/>
      <c r="CN102" s="43"/>
      <c r="CO102" s="43"/>
      <c r="CP102" s="43"/>
      <c r="CQ102" s="43"/>
      <c r="CR102" s="43"/>
      <c r="CS102" s="43"/>
      <c r="CT102" s="43"/>
      <c r="CU102" s="43"/>
      <c r="CV102" s="43"/>
      <c r="CW102" s="43"/>
      <c r="CX102" s="43"/>
      <c r="CY102" s="43"/>
      <c r="CZ102" s="7"/>
      <c r="DA102" s="7"/>
      <c r="DB102" s="43"/>
      <c r="DC102" s="43"/>
      <c r="DD102" s="53"/>
      <c r="DE102" s="73">
        <f t="shared" si="19"/>
        <v>0</v>
      </c>
      <c r="DG102" s="52"/>
      <c r="DH102" s="43"/>
      <c r="DI102" s="50">
        <f t="shared" si="20"/>
        <v>5582.15</v>
      </c>
      <c r="DK102" s="52"/>
      <c r="DL102" s="43"/>
      <c r="DM102" s="50">
        <f t="shared" si="21"/>
        <v>2268.9799999999996</v>
      </c>
      <c r="DO102" s="52"/>
      <c r="DP102" s="43"/>
      <c r="DQ102" s="50">
        <f t="shared" si="22"/>
        <v>7139.1200000000008</v>
      </c>
      <c r="DT102" s="52"/>
      <c r="DU102" s="43"/>
      <c r="DV102" s="50">
        <f t="shared" si="23"/>
        <v>361.19</v>
      </c>
      <c r="DX102" s="52">
        <v>30</v>
      </c>
      <c r="DY102" s="43"/>
      <c r="DZ102" s="53">
        <f t="shared" si="24"/>
        <v>367.40999999999997</v>
      </c>
      <c r="EB102" s="52"/>
      <c r="EC102" s="43"/>
      <c r="ED102" s="53">
        <f t="shared" si="25"/>
        <v>0</v>
      </c>
      <c r="EF102" s="52"/>
      <c r="EG102" s="43"/>
      <c r="EH102" s="53">
        <f t="shared" si="26"/>
        <v>1200</v>
      </c>
      <c r="EJ102" s="65"/>
      <c r="EK102" s="7"/>
      <c r="EL102" s="53">
        <f t="shared" si="27"/>
        <v>25.299999999999997</v>
      </c>
      <c r="EN102" s="51">
        <f t="shared" si="28"/>
        <v>-5786.2699999999913</v>
      </c>
      <c r="EP102" s="60">
        <f t="shared" si="29"/>
        <v>0</v>
      </c>
      <c r="EQ102" s="61">
        <f t="shared" si="30"/>
        <v>0</v>
      </c>
      <c r="ER102" s="15">
        <f t="shared" si="31"/>
        <v>0</v>
      </c>
      <c r="ES102" s="62">
        <f t="shared" si="33"/>
        <v>0</v>
      </c>
      <c r="EU102" s="6">
        <v>92</v>
      </c>
    </row>
    <row r="103" spans="1:151" x14ac:dyDescent="0.45">
      <c r="A103" s="67">
        <v>45503</v>
      </c>
      <c r="B103" s="25" t="s">
        <v>792</v>
      </c>
      <c r="C103" s="3" t="s">
        <v>185</v>
      </c>
      <c r="F103" s="15">
        <v>185.92</v>
      </c>
      <c r="G103" s="66">
        <f t="shared" si="18"/>
        <v>10971.960000000008</v>
      </c>
      <c r="H103" s="64" t="s">
        <v>625</v>
      </c>
      <c r="I103" s="52"/>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53"/>
      <c r="AS103" s="52"/>
      <c r="AT103" s="43"/>
      <c r="AU103" s="43"/>
      <c r="AV103" s="43"/>
      <c r="AW103" s="43"/>
      <c r="AX103" s="43">
        <v>61.97</v>
      </c>
      <c r="AY103" s="43">
        <v>61.97</v>
      </c>
      <c r="AZ103" s="43">
        <v>61.98</v>
      </c>
      <c r="BA103" s="43"/>
      <c r="BB103" s="43"/>
      <c r="BC103" s="43"/>
      <c r="BD103" s="43"/>
      <c r="BE103" s="43"/>
      <c r="BF103" s="43"/>
      <c r="BG103" s="43"/>
      <c r="BH103" s="43"/>
      <c r="BI103" s="43"/>
      <c r="BJ103" s="43"/>
      <c r="BK103" s="43"/>
      <c r="BL103" s="43"/>
      <c r="BM103" s="43"/>
      <c r="BN103" s="43"/>
      <c r="BO103" s="43"/>
      <c r="BP103" s="43"/>
      <c r="BQ103" s="43"/>
      <c r="BR103" s="43"/>
      <c r="BS103" s="43"/>
      <c r="BT103" s="43"/>
      <c r="BU103" s="43"/>
      <c r="BV103" s="43"/>
      <c r="BW103" s="53"/>
      <c r="BX103" s="30">
        <f t="shared" si="17"/>
        <v>0</v>
      </c>
      <c r="BY103" s="52"/>
      <c r="BZ103" s="43"/>
      <c r="CA103" s="43"/>
      <c r="CB103" s="43"/>
      <c r="CC103" s="43"/>
      <c r="CD103" s="43"/>
      <c r="CE103" s="43"/>
      <c r="CF103" s="43"/>
      <c r="CG103" s="53"/>
      <c r="CH103" s="52"/>
      <c r="CI103" s="43"/>
      <c r="CJ103" s="43"/>
      <c r="CK103" s="43"/>
      <c r="CL103" s="43">
        <v>185.92</v>
      </c>
      <c r="CM103" s="43"/>
      <c r="CN103" s="43"/>
      <c r="CO103" s="43"/>
      <c r="CP103" s="43"/>
      <c r="CQ103" s="43"/>
      <c r="CR103" s="43"/>
      <c r="CS103" s="43"/>
      <c r="CT103" s="43"/>
      <c r="CU103" s="43"/>
      <c r="CV103" s="43"/>
      <c r="CW103" s="43"/>
      <c r="CX103" s="43"/>
      <c r="CY103" s="43"/>
      <c r="CZ103" s="7"/>
      <c r="DA103" s="7"/>
      <c r="DB103" s="43"/>
      <c r="DC103" s="43"/>
      <c r="DD103" s="53"/>
      <c r="DE103" s="73">
        <f t="shared" si="19"/>
        <v>0</v>
      </c>
      <c r="DG103" s="52"/>
      <c r="DH103" s="43">
        <v>61.97</v>
      </c>
      <c r="DI103" s="50">
        <f t="shared" si="20"/>
        <v>5520.1799999999994</v>
      </c>
      <c r="DK103" s="52"/>
      <c r="DL103" s="43">
        <v>61.97</v>
      </c>
      <c r="DM103" s="50">
        <f t="shared" si="21"/>
        <v>2207.0099999999998</v>
      </c>
      <c r="DO103" s="52"/>
      <c r="DP103" s="43">
        <v>61.98</v>
      </c>
      <c r="DQ103" s="50">
        <f t="shared" si="22"/>
        <v>7077.1400000000012</v>
      </c>
      <c r="DT103" s="52"/>
      <c r="DU103" s="43"/>
      <c r="DV103" s="50">
        <f t="shared" si="23"/>
        <v>361.19</v>
      </c>
      <c r="DX103" s="52"/>
      <c r="DY103" s="43"/>
      <c r="DZ103" s="53">
        <f t="shared" si="24"/>
        <v>367.40999999999997</v>
      </c>
      <c r="EB103" s="52"/>
      <c r="EC103" s="43"/>
      <c r="ED103" s="53">
        <f t="shared" si="25"/>
        <v>0</v>
      </c>
      <c r="EF103" s="52"/>
      <c r="EG103" s="43"/>
      <c r="EH103" s="53">
        <f t="shared" si="26"/>
        <v>1200</v>
      </c>
      <c r="EJ103" s="65"/>
      <c r="EK103" s="7"/>
      <c r="EL103" s="53">
        <f t="shared" si="27"/>
        <v>25.299999999999997</v>
      </c>
      <c r="EN103" s="51">
        <f t="shared" si="28"/>
        <v>-5786.2699999999923</v>
      </c>
      <c r="EP103" s="60">
        <f t="shared" si="29"/>
        <v>0</v>
      </c>
      <c r="EQ103" s="61">
        <f t="shared" si="30"/>
        <v>0</v>
      </c>
      <c r="ER103" s="15">
        <f t="shared" si="31"/>
        <v>0</v>
      </c>
      <c r="ES103" s="163">
        <f t="shared" si="33"/>
        <v>0</v>
      </c>
      <c r="EU103">
        <v>93</v>
      </c>
    </row>
    <row r="104" spans="1:151" x14ac:dyDescent="0.45">
      <c r="A104" s="67">
        <v>45506</v>
      </c>
      <c r="B104" s="25" t="s">
        <v>772</v>
      </c>
      <c r="C104" s="3" t="s">
        <v>647</v>
      </c>
      <c r="E104" s="15">
        <v>0.03</v>
      </c>
      <c r="G104" s="16">
        <f t="shared" si="18"/>
        <v>10971.990000000009</v>
      </c>
      <c r="H104" s="64" t="s">
        <v>625</v>
      </c>
      <c r="I104" s="52"/>
      <c r="J104" s="43"/>
      <c r="K104" s="43"/>
      <c r="L104" s="43"/>
      <c r="M104" s="43">
        <v>0.03</v>
      </c>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53"/>
      <c r="AS104" s="52"/>
      <c r="AT104" s="43"/>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3"/>
      <c r="BR104" s="43"/>
      <c r="BS104" s="43"/>
      <c r="BT104" s="43"/>
      <c r="BU104" s="43"/>
      <c r="BV104" s="43"/>
      <c r="BW104" s="53"/>
      <c r="BX104" s="30">
        <f t="shared" si="17"/>
        <v>0</v>
      </c>
      <c r="BY104" s="52">
        <v>0.03</v>
      </c>
      <c r="BZ104" s="43"/>
      <c r="CA104" s="43"/>
      <c r="CB104" s="43"/>
      <c r="CC104" s="43"/>
      <c r="CD104" s="43"/>
      <c r="CE104" s="43"/>
      <c r="CF104" s="43"/>
      <c r="CG104" s="53"/>
      <c r="CH104" s="52"/>
      <c r="CI104" s="43"/>
      <c r="CJ104" s="43"/>
      <c r="CK104" s="43"/>
      <c r="CL104" s="43"/>
      <c r="CM104" s="43"/>
      <c r="CN104" s="43"/>
      <c r="CO104" s="43"/>
      <c r="CP104" s="43"/>
      <c r="CQ104" s="43"/>
      <c r="CR104" s="43"/>
      <c r="CS104" s="43"/>
      <c r="CT104" s="43"/>
      <c r="CU104" s="43"/>
      <c r="CV104" s="43"/>
      <c r="CW104" s="43"/>
      <c r="CX104" s="43"/>
      <c r="CY104" s="43"/>
      <c r="CZ104" s="7"/>
      <c r="DA104" s="7"/>
      <c r="DB104" s="43"/>
      <c r="DC104" s="43"/>
      <c r="DD104" s="53"/>
      <c r="DE104" s="73">
        <f t="shared" si="19"/>
        <v>0</v>
      </c>
      <c r="DG104" s="52"/>
      <c r="DH104" s="43"/>
      <c r="DI104" s="50">
        <f t="shared" si="20"/>
        <v>5520.1799999999994</v>
      </c>
      <c r="DK104" s="52"/>
      <c r="DL104" s="43"/>
      <c r="DM104" s="50">
        <f t="shared" si="21"/>
        <v>2207.0099999999998</v>
      </c>
      <c r="DO104" s="52"/>
      <c r="DP104" s="43"/>
      <c r="DQ104" s="50">
        <f t="shared" si="22"/>
        <v>7077.1400000000012</v>
      </c>
      <c r="DT104" s="52"/>
      <c r="DU104" s="43"/>
      <c r="DV104" s="50">
        <f t="shared" si="23"/>
        <v>361.19</v>
      </c>
      <c r="DX104" s="52">
        <v>0.03</v>
      </c>
      <c r="DY104" s="43"/>
      <c r="DZ104" s="53">
        <f t="shared" si="24"/>
        <v>367.43999999999994</v>
      </c>
      <c r="EB104" s="52"/>
      <c r="EC104" s="43"/>
      <c r="ED104" s="53">
        <f t="shared" si="25"/>
        <v>0</v>
      </c>
      <c r="EF104" s="52"/>
      <c r="EG104" s="43"/>
      <c r="EH104" s="53">
        <f t="shared" si="26"/>
        <v>1200</v>
      </c>
      <c r="EJ104" s="65"/>
      <c r="EK104" s="7"/>
      <c r="EL104" s="53">
        <f t="shared" si="27"/>
        <v>25.299999999999997</v>
      </c>
      <c r="EN104" s="51">
        <f t="shared" si="28"/>
        <v>-5786.2699999999913</v>
      </c>
      <c r="EP104" s="60">
        <f t="shared" si="29"/>
        <v>0</v>
      </c>
      <c r="EQ104" s="61">
        <f t="shared" si="30"/>
        <v>0</v>
      </c>
      <c r="ER104" s="15">
        <f t="shared" si="31"/>
        <v>0</v>
      </c>
      <c r="ES104" s="62">
        <f t="shared" si="33"/>
        <v>0</v>
      </c>
      <c r="EU104" s="6">
        <v>94</v>
      </c>
    </row>
    <row r="105" spans="1:151" x14ac:dyDescent="0.45">
      <c r="A105" s="67">
        <v>45523</v>
      </c>
      <c r="B105" s="25" t="s">
        <v>799</v>
      </c>
      <c r="C105" s="3" t="s">
        <v>534</v>
      </c>
      <c r="F105" s="15">
        <v>151.96</v>
      </c>
      <c r="G105" s="16">
        <f t="shared" si="18"/>
        <v>10820.03000000001</v>
      </c>
      <c r="H105" s="64" t="s">
        <v>625</v>
      </c>
      <c r="I105" s="52"/>
      <c r="J105" s="43"/>
      <c r="K105" s="43"/>
      <c r="L105" s="43"/>
      <c r="M105" s="43"/>
      <c r="N105" s="43"/>
      <c r="O105" s="43"/>
      <c r="P105" s="43"/>
      <c r="Q105" s="43"/>
      <c r="R105" s="43"/>
      <c r="S105" s="43"/>
      <c r="T105" s="43"/>
      <c r="U105" s="43"/>
      <c r="V105" s="43"/>
      <c r="W105" s="43"/>
      <c r="X105" s="43"/>
      <c r="Y105" s="43"/>
      <c r="AA105" s="43"/>
      <c r="AB105" s="43"/>
      <c r="AC105" s="43"/>
      <c r="AD105" s="43"/>
      <c r="AE105" s="43"/>
      <c r="AF105" s="43"/>
      <c r="AG105" s="43"/>
      <c r="AH105" s="43"/>
      <c r="AI105" s="43"/>
      <c r="AJ105" s="43"/>
      <c r="AK105" s="43"/>
      <c r="AL105" s="43"/>
      <c r="AM105" s="43"/>
      <c r="AN105" s="43"/>
      <c r="AO105" s="43"/>
      <c r="AP105" s="43"/>
      <c r="AQ105" s="43"/>
      <c r="AR105" s="53"/>
      <c r="AS105" s="52"/>
      <c r="AT105" s="43"/>
      <c r="AU105" s="43"/>
      <c r="AV105" s="43"/>
      <c r="AW105" s="43"/>
      <c r="AX105" s="43"/>
      <c r="AY105" s="43"/>
      <c r="AZ105" s="43"/>
      <c r="BA105" s="43"/>
      <c r="BB105" s="43">
        <v>151.96</v>
      </c>
      <c r="BC105" s="43"/>
      <c r="BD105" s="43"/>
      <c r="BE105" s="43"/>
      <c r="BF105" s="43"/>
      <c r="BG105" s="43"/>
      <c r="BH105" s="43"/>
      <c r="BI105" s="43"/>
      <c r="BJ105" s="43"/>
      <c r="BK105" s="43"/>
      <c r="BL105" s="43"/>
      <c r="BM105" s="43"/>
      <c r="BN105" s="43"/>
      <c r="BO105" s="43"/>
      <c r="BP105" s="43"/>
      <c r="BQ105" s="43"/>
      <c r="BR105" s="43"/>
      <c r="BS105" s="43"/>
      <c r="BT105" s="43"/>
      <c r="BU105" s="43"/>
      <c r="BV105" s="43"/>
      <c r="BW105" s="53"/>
      <c r="BX105" s="30">
        <f t="shared" si="17"/>
        <v>0</v>
      </c>
      <c r="BY105" s="52"/>
      <c r="BZ105" s="43"/>
      <c r="CA105" s="43"/>
      <c r="CB105" s="43"/>
      <c r="CC105" s="43"/>
      <c r="CD105" s="43"/>
      <c r="CE105" s="43"/>
      <c r="CF105" s="43"/>
      <c r="CG105" s="53"/>
      <c r="CH105" s="52"/>
      <c r="CI105" s="43"/>
      <c r="CJ105" s="43"/>
      <c r="CK105" s="43"/>
      <c r="CL105" s="43"/>
      <c r="CM105" s="43"/>
      <c r="CN105" s="43"/>
      <c r="CO105" s="43"/>
      <c r="CP105" s="43"/>
      <c r="CQ105" s="43"/>
      <c r="CR105" s="43"/>
      <c r="CS105" s="43"/>
      <c r="CT105" s="43"/>
      <c r="CU105" s="43"/>
      <c r="CV105" s="43"/>
      <c r="CW105" s="43"/>
      <c r="CX105" s="43"/>
      <c r="CY105" s="43"/>
      <c r="CZ105" s="7"/>
      <c r="DA105" s="7"/>
      <c r="DB105" s="43"/>
      <c r="DC105" s="43">
        <v>151.96</v>
      </c>
      <c r="DD105" s="53"/>
      <c r="DE105" s="73">
        <f t="shared" si="19"/>
        <v>0</v>
      </c>
      <c r="DG105" s="52"/>
      <c r="DH105" s="43"/>
      <c r="DI105" s="50">
        <f t="shared" si="20"/>
        <v>5520.1799999999994</v>
      </c>
      <c r="DK105" s="52"/>
      <c r="DL105" s="43"/>
      <c r="DM105" s="50">
        <f t="shared" si="21"/>
        <v>2207.0099999999998</v>
      </c>
      <c r="DO105" s="52"/>
      <c r="DP105" s="43"/>
      <c r="DQ105" s="50">
        <f t="shared" si="22"/>
        <v>7077.1400000000012</v>
      </c>
      <c r="DT105" s="52"/>
      <c r="DU105" s="43"/>
      <c r="DV105" s="50">
        <f t="shared" si="23"/>
        <v>361.19</v>
      </c>
      <c r="DX105" s="52"/>
      <c r="DY105" s="43"/>
      <c r="DZ105" s="53">
        <f t="shared" si="24"/>
        <v>367.43999999999994</v>
      </c>
      <c r="EB105" s="52"/>
      <c r="EC105" s="43"/>
      <c r="ED105" s="53">
        <f t="shared" si="25"/>
        <v>0</v>
      </c>
      <c r="EF105" s="52"/>
      <c r="EG105" s="43">
        <v>151.96</v>
      </c>
      <c r="EH105" s="53">
        <f t="shared" si="26"/>
        <v>1048.04</v>
      </c>
      <c r="EJ105" s="65"/>
      <c r="EK105" s="7"/>
      <c r="EL105" s="53">
        <f t="shared" si="27"/>
        <v>25.299999999999997</v>
      </c>
      <c r="EN105" s="51">
        <f t="shared" si="28"/>
        <v>-5786.2699999999904</v>
      </c>
      <c r="EP105" s="60">
        <f t="shared" si="29"/>
        <v>0</v>
      </c>
      <c r="EQ105" s="61">
        <f t="shared" si="30"/>
        <v>0</v>
      </c>
      <c r="ER105" s="15">
        <f t="shared" si="31"/>
        <v>0</v>
      </c>
      <c r="ES105" s="163">
        <f t="shared" si="33"/>
        <v>0</v>
      </c>
      <c r="EU105">
        <v>95</v>
      </c>
    </row>
    <row r="106" spans="1:151" x14ac:dyDescent="0.45">
      <c r="A106" s="67">
        <v>45525</v>
      </c>
      <c r="B106" s="25" t="s">
        <v>800</v>
      </c>
      <c r="C106" s="3" t="s">
        <v>185</v>
      </c>
      <c r="F106" s="15">
        <v>114.53</v>
      </c>
      <c r="G106" s="16">
        <f t="shared" si="18"/>
        <v>10705.500000000009</v>
      </c>
      <c r="H106" s="64" t="s">
        <v>625</v>
      </c>
      <c r="I106" s="52"/>
      <c r="J106" s="43"/>
      <c r="K106" s="43"/>
      <c r="L106" s="43"/>
      <c r="M106" s="43"/>
      <c r="N106" s="43"/>
      <c r="O106" s="43"/>
      <c r="P106" s="43"/>
      <c r="Q106" s="43"/>
      <c r="R106" s="43"/>
      <c r="S106" s="43"/>
      <c r="T106" s="43"/>
      <c r="U106" s="43"/>
      <c r="V106" s="43"/>
      <c r="W106" s="43"/>
      <c r="X106" s="43"/>
      <c r="Y106" s="43"/>
      <c r="AA106" s="43"/>
      <c r="AB106" s="43"/>
      <c r="AC106" s="43"/>
      <c r="AD106" s="43"/>
      <c r="AE106" s="43"/>
      <c r="AF106" s="43"/>
      <c r="AG106" s="43"/>
      <c r="AH106" s="43"/>
      <c r="AI106" s="43"/>
      <c r="AJ106" s="43"/>
      <c r="AK106" s="43"/>
      <c r="AL106" s="43"/>
      <c r="AM106" s="43"/>
      <c r="AN106" s="43"/>
      <c r="AO106" s="43"/>
      <c r="AP106" s="43"/>
      <c r="AQ106" s="43"/>
      <c r="AR106" s="53"/>
      <c r="AS106" s="52"/>
      <c r="AT106" s="43"/>
      <c r="AU106" s="43"/>
      <c r="AV106" s="43"/>
      <c r="AW106" s="43"/>
      <c r="AX106" s="43">
        <f>114.53/3</f>
        <v>38.176666666666669</v>
      </c>
      <c r="AY106" s="43">
        <v>38.18</v>
      </c>
      <c r="AZ106" s="43">
        <v>38.17</v>
      </c>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53"/>
      <c r="BX106" s="30">
        <f t="shared" si="17"/>
        <v>3.3333333333303017E-3</v>
      </c>
      <c r="BY106" s="52"/>
      <c r="BZ106" s="43"/>
      <c r="CA106" s="43"/>
      <c r="CB106" s="43"/>
      <c r="CC106" s="43"/>
      <c r="CD106" s="43"/>
      <c r="CE106" s="43"/>
      <c r="CF106" s="43"/>
      <c r="CG106" s="53"/>
      <c r="CH106" s="52"/>
      <c r="CI106" s="43"/>
      <c r="CJ106" s="43"/>
      <c r="CK106" s="43"/>
      <c r="CL106" s="43">
        <v>114.53</v>
      </c>
      <c r="CM106" s="43"/>
      <c r="CN106" s="43"/>
      <c r="CO106" s="43"/>
      <c r="CP106" s="43"/>
      <c r="CQ106" s="43"/>
      <c r="CR106" s="43"/>
      <c r="CS106" s="43"/>
      <c r="CT106" s="43"/>
      <c r="CU106" s="43"/>
      <c r="CV106" s="43"/>
      <c r="CW106" s="43"/>
      <c r="CX106" s="43"/>
      <c r="CY106" s="43"/>
      <c r="CZ106" s="7"/>
      <c r="DA106" s="7"/>
      <c r="DB106" s="43"/>
      <c r="DC106" s="43"/>
      <c r="DD106" s="53"/>
      <c r="DE106" s="73">
        <f t="shared" si="19"/>
        <v>0</v>
      </c>
      <c r="DG106" s="52"/>
      <c r="DH106" s="43">
        <f>114.53/3</f>
        <v>38.176666666666669</v>
      </c>
      <c r="DI106" s="50">
        <f t="shared" si="20"/>
        <v>5482.0033333333331</v>
      </c>
      <c r="DK106" s="52"/>
      <c r="DL106" s="43">
        <v>38.18</v>
      </c>
      <c r="DM106" s="50">
        <f t="shared" si="21"/>
        <v>2168.83</v>
      </c>
      <c r="DO106" s="52"/>
      <c r="DP106" s="43">
        <v>38.17</v>
      </c>
      <c r="DQ106" s="50">
        <f t="shared" si="22"/>
        <v>7038.9700000000012</v>
      </c>
      <c r="DT106" s="52"/>
      <c r="DU106" s="43"/>
      <c r="DV106" s="50">
        <f t="shared" si="23"/>
        <v>361.19</v>
      </c>
      <c r="DX106" s="52"/>
      <c r="DY106" s="43"/>
      <c r="DZ106" s="53">
        <f t="shared" si="24"/>
        <v>367.43999999999994</v>
      </c>
      <c r="EB106" s="52"/>
      <c r="EC106" s="43"/>
      <c r="ED106" s="53">
        <f t="shared" si="25"/>
        <v>0</v>
      </c>
      <c r="EF106" s="52"/>
      <c r="EG106" s="43"/>
      <c r="EH106" s="53">
        <f t="shared" si="26"/>
        <v>1048.04</v>
      </c>
      <c r="EJ106" s="65"/>
      <c r="EK106" s="7"/>
      <c r="EL106" s="53">
        <f t="shared" si="27"/>
        <v>25.299999999999997</v>
      </c>
      <c r="EN106" s="51">
        <f t="shared" si="28"/>
        <v>-5786.2733333333244</v>
      </c>
      <c r="EP106" s="60">
        <f t="shared" si="29"/>
        <v>0</v>
      </c>
      <c r="EQ106" s="61">
        <f t="shared" si="30"/>
        <v>0</v>
      </c>
      <c r="ER106" s="15">
        <f t="shared" si="31"/>
        <v>0</v>
      </c>
      <c r="ES106" s="62">
        <f t="shared" si="33"/>
        <v>0</v>
      </c>
      <c r="EU106" s="6">
        <v>96</v>
      </c>
    </row>
    <row r="107" spans="1:151" x14ac:dyDescent="0.45">
      <c r="A107" s="67">
        <v>45532</v>
      </c>
      <c r="B107" s="25" t="s">
        <v>801</v>
      </c>
      <c r="C107" s="10" t="s">
        <v>620</v>
      </c>
      <c r="D107" s="7"/>
      <c r="E107" s="43"/>
      <c r="F107" s="43">
        <v>287.5</v>
      </c>
      <c r="G107" s="16">
        <f t="shared" si="18"/>
        <v>10418.000000000009</v>
      </c>
      <c r="H107" s="64" t="s">
        <v>625</v>
      </c>
      <c r="I107" s="52"/>
      <c r="J107" s="43"/>
      <c r="K107" s="43"/>
      <c r="L107" s="43"/>
      <c r="M107" s="43"/>
      <c r="N107" s="43"/>
      <c r="O107" s="43"/>
      <c r="P107" s="43"/>
      <c r="Q107" s="43"/>
      <c r="R107" s="43"/>
      <c r="S107" s="43"/>
      <c r="T107" s="43"/>
      <c r="U107" s="43"/>
      <c r="V107" s="43"/>
      <c r="W107" s="43"/>
      <c r="X107" s="43"/>
      <c r="Y107" s="43"/>
      <c r="AA107" s="43"/>
      <c r="AB107" s="43"/>
      <c r="AC107" s="43"/>
      <c r="AD107" s="43"/>
      <c r="AE107" s="43"/>
      <c r="AF107" s="43"/>
      <c r="AG107" s="43"/>
      <c r="AH107" s="43"/>
      <c r="AI107" s="43"/>
      <c r="AJ107" s="43"/>
      <c r="AK107" s="43"/>
      <c r="AL107" s="43"/>
      <c r="AM107" s="43"/>
      <c r="AN107" s="43"/>
      <c r="AO107" s="43"/>
      <c r="AP107" s="43"/>
      <c r="AQ107" s="43"/>
      <c r="AR107" s="53"/>
      <c r="AS107" s="52"/>
      <c r="AT107" s="43"/>
      <c r="AU107" s="43"/>
      <c r="AV107" s="43"/>
      <c r="AW107" s="43"/>
      <c r="AX107" s="43"/>
      <c r="AY107" s="43">
        <v>287.5</v>
      </c>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53"/>
      <c r="BX107" s="30">
        <f t="shared" si="17"/>
        <v>0</v>
      </c>
      <c r="BY107" s="52"/>
      <c r="BZ107" s="43"/>
      <c r="CA107" s="43"/>
      <c r="CB107" s="43"/>
      <c r="CC107" s="43"/>
      <c r="CD107" s="43"/>
      <c r="CE107" s="43"/>
      <c r="CF107" s="43"/>
      <c r="CG107" s="53"/>
      <c r="CH107" s="52"/>
      <c r="CI107" s="43"/>
      <c r="CJ107" s="43"/>
      <c r="CK107" s="43"/>
      <c r="CL107" s="43"/>
      <c r="CM107" s="43"/>
      <c r="CN107" s="43"/>
      <c r="CO107" s="43"/>
      <c r="CP107" s="43">
        <v>287.5</v>
      </c>
      <c r="CQ107" s="43"/>
      <c r="CR107" s="43"/>
      <c r="CS107" s="43"/>
      <c r="CT107" s="43"/>
      <c r="CU107" s="43"/>
      <c r="CV107" s="43"/>
      <c r="CW107" s="43"/>
      <c r="CX107" s="43"/>
      <c r="CY107" s="43"/>
      <c r="CZ107" s="7"/>
      <c r="DA107" s="7"/>
      <c r="DB107" s="43"/>
      <c r="DC107" s="43"/>
      <c r="DD107" s="53"/>
      <c r="DE107" s="73">
        <f t="shared" si="19"/>
        <v>0</v>
      </c>
      <c r="DG107" s="52"/>
      <c r="DH107" s="43"/>
      <c r="DI107" s="50">
        <f t="shared" si="20"/>
        <v>5482.0033333333331</v>
      </c>
      <c r="DK107" s="52"/>
      <c r="DL107" s="43">
        <v>287.5</v>
      </c>
      <c r="DM107" s="50">
        <f t="shared" si="21"/>
        <v>1881.33</v>
      </c>
      <c r="DO107" s="52"/>
      <c r="DP107" s="43"/>
      <c r="DQ107" s="50">
        <f t="shared" si="22"/>
        <v>7038.9700000000012</v>
      </c>
      <c r="DT107" s="52"/>
      <c r="DU107" s="43"/>
      <c r="DV107" s="50">
        <f t="shared" si="23"/>
        <v>361.19</v>
      </c>
      <c r="DX107" s="52"/>
      <c r="DY107" s="43"/>
      <c r="DZ107" s="53">
        <f t="shared" si="24"/>
        <v>367.43999999999994</v>
      </c>
      <c r="EB107" s="52"/>
      <c r="EC107" s="43"/>
      <c r="ED107" s="53">
        <f t="shared" si="25"/>
        <v>0</v>
      </c>
      <c r="EF107" s="52"/>
      <c r="EG107" s="43"/>
      <c r="EH107" s="53">
        <f t="shared" si="26"/>
        <v>1048.04</v>
      </c>
      <c r="EJ107" s="65"/>
      <c r="EK107" s="7"/>
      <c r="EL107" s="53">
        <f t="shared" si="27"/>
        <v>25.299999999999997</v>
      </c>
      <c r="EN107" s="51">
        <f t="shared" si="28"/>
        <v>-5786.2733333333244</v>
      </c>
      <c r="EP107" s="60">
        <f t="shared" si="29"/>
        <v>0</v>
      </c>
      <c r="EQ107" s="61">
        <f t="shared" si="30"/>
        <v>0</v>
      </c>
      <c r="ER107" s="15">
        <f t="shared" si="31"/>
        <v>0</v>
      </c>
      <c r="ES107" s="163">
        <f t="shared" si="33"/>
        <v>0</v>
      </c>
      <c r="EU107">
        <v>97</v>
      </c>
    </row>
    <row r="108" spans="1:151" x14ac:dyDescent="0.45">
      <c r="A108" s="67">
        <v>45532</v>
      </c>
      <c r="B108" s="25" t="s">
        <v>802</v>
      </c>
      <c r="C108" s="10" t="s">
        <v>621</v>
      </c>
      <c r="D108" s="7"/>
      <c r="E108" s="43"/>
      <c r="F108" s="43">
        <v>395</v>
      </c>
      <c r="G108" s="16">
        <f t="shared" si="18"/>
        <v>10023.000000000009</v>
      </c>
      <c r="H108" s="64" t="s">
        <v>625</v>
      </c>
      <c r="I108" s="52"/>
      <c r="J108" s="43"/>
      <c r="K108" s="43"/>
      <c r="L108" s="43"/>
      <c r="M108" s="43"/>
      <c r="N108" s="43"/>
      <c r="O108" s="43"/>
      <c r="P108" s="43"/>
      <c r="Q108" s="43"/>
      <c r="R108" s="43"/>
      <c r="S108" s="43"/>
      <c r="T108" s="43"/>
      <c r="U108" s="43"/>
      <c r="V108" s="43"/>
      <c r="W108" s="43"/>
      <c r="X108" s="43"/>
      <c r="Y108" s="43"/>
      <c r="AA108" s="43"/>
      <c r="AB108" s="43"/>
      <c r="AC108" s="43"/>
      <c r="AD108" s="43"/>
      <c r="AE108" s="43"/>
      <c r="AF108" s="43"/>
      <c r="AG108" s="43"/>
      <c r="AH108" s="43"/>
      <c r="AI108" s="43"/>
      <c r="AJ108" s="43"/>
      <c r="AK108" s="43"/>
      <c r="AL108" s="43"/>
      <c r="AM108" s="43"/>
      <c r="AN108" s="43"/>
      <c r="AO108" s="43"/>
      <c r="AP108" s="43"/>
      <c r="AQ108" s="43"/>
      <c r="AR108" s="53"/>
      <c r="AS108" s="52"/>
      <c r="AT108" s="43"/>
      <c r="AU108" s="43"/>
      <c r="AV108" s="43"/>
      <c r="AW108" s="43"/>
      <c r="AX108" s="43"/>
      <c r="AY108" s="43">
        <v>395</v>
      </c>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53"/>
      <c r="BX108" s="30">
        <f t="shared" si="17"/>
        <v>0</v>
      </c>
      <c r="BY108" s="52"/>
      <c r="BZ108" s="43"/>
      <c r="CA108" s="43"/>
      <c r="CB108" s="43"/>
      <c r="CC108" s="43"/>
      <c r="CD108" s="43"/>
      <c r="CE108" s="43"/>
      <c r="CF108" s="43"/>
      <c r="CG108" s="53"/>
      <c r="CH108" s="52"/>
      <c r="CI108" s="43"/>
      <c r="CJ108" s="43"/>
      <c r="CK108" s="43"/>
      <c r="CL108" s="43"/>
      <c r="CM108" s="43"/>
      <c r="CN108" s="43"/>
      <c r="CO108" s="43"/>
      <c r="CP108" s="43">
        <v>395</v>
      </c>
      <c r="CQ108" s="43"/>
      <c r="CR108" s="43"/>
      <c r="CS108" s="43"/>
      <c r="CT108" s="43"/>
      <c r="CU108" s="43"/>
      <c r="CV108" s="43"/>
      <c r="CW108" s="43"/>
      <c r="CX108" s="43"/>
      <c r="CY108" s="43"/>
      <c r="CZ108" s="7"/>
      <c r="DA108" s="7"/>
      <c r="DB108" s="43"/>
      <c r="DC108" s="43"/>
      <c r="DD108" s="53"/>
      <c r="DE108" s="73">
        <f t="shared" si="19"/>
        <v>0</v>
      </c>
      <c r="DG108" s="52"/>
      <c r="DH108" s="43"/>
      <c r="DI108" s="50">
        <f t="shared" si="20"/>
        <v>5482.0033333333331</v>
      </c>
      <c r="DK108" s="52"/>
      <c r="DL108" s="43">
        <v>395</v>
      </c>
      <c r="DM108" s="50">
        <f t="shared" si="21"/>
        <v>1486.33</v>
      </c>
      <c r="DO108" s="52"/>
      <c r="DP108" s="43"/>
      <c r="DQ108" s="50">
        <f t="shared" si="22"/>
        <v>7038.9700000000012</v>
      </c>
      <c r="DT108" s="52"/>
      <c r="DU108" s="43"/>
      <c r="DV108" s="50">
        <f t="shared" si="23"/>
        <v>361.19</v>
      </c>
      <c r="DX108" s="52"/>
      <c r="DY108" s="43"/>
      <c r="DZ108" s="53">
        <f t="shared" si="24"/>
        <v>367.43999999999994</v>
      </c>
      <c r="EB108" s="52"/>
      <c r="EC108" s="43"/>
      <c r="ED108" s="53">
        <f t="shared" si="25"/>
        <v>0</v>
      </c>
      <c r="EF108" s="52"/>
      <c r="EG108" s="43"/>
      <c r="EH108" s="53">
        <f t="shared" si="26"/>
        <v>1048.04</v>
      </c>
      <c r="EJ108" s="65"/>
      <c r="EK108" s="7"/>
      <c r="EL108" s="53">
        <f t="shared" si="27"/>
        <v>25.299999999999997</v>
      </c>
      <c r="EN108" s="51">
        <f t="shared" si="28"/>
        <v>-5786.2733333333244</v>
      </c>
      <c r="EP108" s="60">
        <f t="shared" si="29"/>
        <v>0</v>
      </c>
      <c r="EQ108" s="61">
        <f t="shared" si="30"/>
        <v>0</v>
      </c>
      <c r="ER108" s="15">
        <f t="shared" si="31"/>
        <v>0</v>
      </c>
      <c r="ES108" s="62">
        <f t="shared" si="33"/>
        <v>0</v>
      </c>
      <c r="ET108" t="s">
        <v>1005</v>
      </c>
      <c r="EU108" s="6">
        <v>98</v>
      </c>
    </row>
    <row r="109" spans="1:151" x14ac:dyDescent="0.45">
      <c r="A109" s="67">
        <v>45534</v>
      </c>
      <c r="B109" s="25" t="s">
        <v>805</v>
      </c>
      <c r="C109" s="10" t="s">
        <v>803</v>
      </c>
      <c r="D109" s="7"/>
      <c r="E109" s="43">
        <v>140</v>
      </c>
      <c r="F109" s="43">
        <f>1.64+2.74</f>
        <v>4.38</v>
      </c>
      <c r="G109" s="16">
        <f t="shared" si="18"/>
        <v>10158.62000000001</v>
      </c>
      <c r="H109" s="64" t="s">
        <v>625</v>
      </c>
      <c r="I109" s="52"/>
      <c r="J109" s="43"/>
      <c r="K109" s="43"/>
      <c r="L109" s="43"/>
      <c r="M109" s="43"/>
      <c r="N109" s="43"/>
      <c r="O109" s="43"/>
      <c r="P109" s="43"/>
      <c r="Q109" s="43"/>
      <c r="R109" s="43"/>
      <c r="S109" s="43"/>
      <c r="T109" s="43"/>
      <c r="U109" s="43"/>
      <c r="V109" s="43"/>
      <c r="W109" s="43"/>
      <c r="X109" s="43"/>
      <c r="Y109" s="43">
        <v>140</v>
      </c>
      <c r="AA109" s="43"/>
      <c r="AB109" s="43"/>
      <c r="AC109" s="43"/>
      <c r="AD109" s="43"/>
      <c r="AE109" s="43"/>
      <c r="AF109" s="43"/>
      <c r="AG109" s="43"/>
      <c r="AH109" s="43"/>
      <c r="AI109" s="43"/>
      <c r="AJ109" s="43"/>
      <c r="AK109" s="43"/>
      <c r="AL109" s="43"/>
      <c r="AM109" s="43"/>
      <c r="AN109" s="43"/>
      <c r="AO109" s="43"/>
      <c r="AP109" s="43"/>
      <c r="AQ109" s="43"/>
      <c r="AR109" s="53"/>
      <c r="AS109" s="52"/>
      <c r="AT109" s="43"/>
      <c r="AU109" s="43"/>
      <c r="AV109" s="43"/>
      <c r="AW109" s="43"/>
      <c r="AX109" s="43"/>
      <c r="AY109" s="43">
        <v>4.38</v>
      </c>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53"/>
      <c r="BX109" s="30">
        <f t="shared" si="17"/>
        <v>0</v>
      </c>
      <c r="BY109" s="52"/>
      <c r="BZ109" s="43"/>
      <c r="CA109" s="43">
        <v>140</v>
      </c>
      <c r="CB109" s="43"/>
      <c r="CC109" s="43"/>
      <c r="CD109" s="43"/>
      <c r="CE109" s="43"/>
      <c r="CF109" s="43"/>
      <c r="CG109" s="53"/>
      <c r="CH109" s="52"/>
      <c r="CI109" s="43"/>
      <c r="CJ109" s="43"/>
      <c r="CK109" s="43"/>
      <c r="CL109" s="43"/>
      <c r="CM109" s="43"/>
      <c r="CN109" s="43"/>
      <c r="CO109" s="43"/>
      <c r="CP109" s="43"/>
      <c r="CQ109" s="43"/>
      <c r="CR109" s="43"/>
      <c r="CS109" s="43"/>
      <c r="CT109" s="43"/>
      <c r="CU109" s="43"/>
      <c r="CV109" s="43"/>
      <c r="CW109" s="43"/>
      <c r="CX109" s="43"/>
      <c r="CY109" s="43"/>
      <c r="CZ109" s="7"/>
      <c r="DA109" s="7"/>
      <c r="DB109" s="43">
        <v>4.38</v>
      </c>
      <c r="DC109" s="43"/>
      <c r="DD109" s="53"/>
      <c r="DE109" s="73">
        <f t="shared" si="19"/>
        <v>0</v>
      </c>
      <c r="DG109" s="52"/>
      <c r="DH109" s="43"/>
      <c r="DI109" s="50">
        <f t="shared" si="20"/>
        <v>5482.0033333333331</v>
      </c>
      <c r="DK109" s="52">
        <v>140</v>
      </c>
      <c r="DL109" s="43">
        <v>4.38</v>
      </c>
      <c r="DM109" s="50">
        <f t="shared" si="21"/>
        <v>1621.9499999999998</v>
      </c>
      <c r="DO109" s="52"/>
      <c r="DP109" s="43"/>
      <c r="DQ109" s="50">
        <f t="shared" si="22"/>
        <v>7038.9700000000012</v>
      </c>
      <c r="DT109" s="52"/>
      <c r="DU109" s="43"/>
      <c r="DV109" s="50">
        <f t="shared" si="23"/>
        <v>361.19</v>
      </c>
      <c r="DX109" s="52"/>
      <c r="DY109" s="43"/>
      <c r="DZ109" s="53">
        <f t="shared" si="24"/>
        <v>367.43999999999994</v>
      </c>
      <c r="EB109" s="52"/>
      <c r="EC109" s="43"/>
      <c r="ED109" s="53">
        <f t="shared" si="25"/>
        <v>0</v>
      </c>
      <c r="EF109" s="52"/>
      <c r="EG109" s="43"/>
      <c r="EH109" s="53">
        <f t="shared" si="26"/>
        <v>1048.04</v>
      </c>
      <c r="EJ109" s="65"/>
      <c r="EK109" s="7"/>
      <c r="EL109" s="53">
        <f t="shared" si="27"/>
        <v>25.299999999999997</v>
      </c>
      <c r="EN109" s="51">
        <f t="shared" si="28"/>
        <v>-5786.2733333333235</v>
      </c>
      <c r="EP109" s="60">
        <f t="shared" si="29"/>
        <v>0</v>
      </c>
      <c r="EQ109" s="61">
        <f t="shared" si="30"/>
        <v>0</v>
      </c>
      <c r="ER109" s="15">
        <f t="shared" si="31"/>
        <v>0</v>
      </c>
      <c r="ES109" s="163">
        <f t="shared" si="33"/>
        <v>0</v>
      </c>
      <c r="EU109">
        <v>99</v>
      </c>
    </row>
    <row r="110" spans="1:151" x14ac:dyDescent="0.45">
      <c r="A110" s="67">
        <v>45534</v>
      </c>
      <c r="B110" s="25" t="s">
        <v>806</v>
      </c>
      <c r="C110" s="10" t="s">
        <v>804</v>
      </c>
      <c r="D110" s="7"/>
      <c r="E110" s="43">
        <v>70</v>
      </c>
      <c r="F110" s="43">
        <v>2.19</v>
      </c>
      <c r="G110" s="66">
        <f t="shared" si="18"/>
        <v>10226.430000000009</v>
      </c>
      <c r="H110" s="64" t="s">
        <v>625</v>
      </c>
      <c r="I110" s="52"/>
      <c r="J110" s="43"/>
      <c r="K110" s="43"/>
      <c r="L110" s="43"/>
      <c r="M110" s="43"/>
      <c r="N110" s="43"/>
      <c r="O110" s="43"/>
      <c r="P110" s="43"/>
      <c r="Q110" s="43"/>
      <c r="R110" s="43"/>
      <c r="S110" s="43"/>
      <c r="T110" s="43"/>
      <c r="U110" s="43"/>
      <c r="V110" s="43"/>
      <c r="W110" s="43"/>
      <c r="X110" s="43"/>
      <c r="Y110" s="43">
        <v>70</v>
      </c>
      <c r="AA110" s="43"/>
      <c r="AB110" s="43"/>
      <c r="AC110" s="43"/>
      <c r="AD110" s="43"/>
      <c r="AE110" s="43"/>
      <c r="AF110" s="43"/>
      <c r="AG110" s="43"/>
      <c r="AH110" s="43"/>
      <c r="AI110" s="43"/>
      <c r="AJ110" s="43"/>
      <c r="AK110" s="43"/>
      <c r="AL110" s="43"/>
      <c r="AM110" s="43"/>
      <c r="AN110" s="43"/>
      <c r="AO110" s="43"/>
      <c r="AP110" s="43"/>
      <c r="AQ110" s="43"/>
      <c r="AR110" s="53"/>
      <c r="AS110" s="52"/>
      <c r="AT110" s="43"/>
      <c r="AU110" s="43"/>
      <c r="AV110" s="43"/>
      <c r="AW110" s="43"/>
      <c r="AX110" s="43"/>
      <c r="AY110" s="43">
        <v>2.19</v>
      </c>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53"/>
      <c r="BX110" s="30">
        <f t="shared" si="17"/>
        <v>0</v>
      </c>
      <c r="BY110" s="52"/>
      <c r="BZ110" s="43"/>
      <c r="CA110" s="43">
        <v>70</v>
      </c>
      <c r="CB110" s="43"/>
      <c r="CC110" s="43"/>
      <c r="CD110" s="43"/>
      <c r="CE110" s="43"/>
      <c r="CF110" s="43"/>
      <c r="CG110" s="53"/>
      <c r="CH110" s="52"/>
      <c r="CI110" s="43"/>
      <c r="CJ110" s="43"/>
      <c r="CK110" s="43"/>
      <c r="CL110" s="43"/>
      <c r="CM110" s="43"/>
      <c r="CN110" s="43"/>
      <c r="CO110" s="43"/>
      <c r="CP110" s="43"/>
      <c r="CQ110" s="43"/>
      <c r="CR110" s="43"/>
      <c r="CS110" s="43"/>
      <c r="CT110" s="43"/>
      <c r="CU110" s="43"/>
      <c r="CV110" s="43"/>
      <c r="CW110" s="43"/>
      <c r="CX110" s="43"/>
      <c r="CY110" s="43"/>
      <c r="CZ110" s="7"/>
      <c r="DA110" s="7"/>
      <c r="DB110" s="43">
        <v>2.19</v>
      </c>
      <c r="DC110" s="43"/>
      <c r="DD110" s="53"/>
      <c r="DE110" s="73">
        <f t="shared" si="19"/>
        <v>0</v>
      </c>
      <c r="DG110" s="52"/>
      <c r="DH110" s="43"/>
      <c r="DI110" s="50">
        <f t="shared" si="20"/>
        <v>5482.0033333333331</v>
      </c>
      <c r="DK110" s="52">
        <v>70</v>
      </c>
      <c r="DL110" s="43">
        <v>2.19</v>
      </c>
      <c r="DM110" s="50">
        <f t="shared" si="21"/>
        <v>1689.7599999999998</v>
      </c>
      <c r="DO110" s="52"/>
      <c r="DP110" s="43"/>
      <c r="DQ110" s="50">
        <f t="shared" si="22"/>
        <v>7038.9700000000012</v>
      </c>
      <c r="DT110" s="52"/>
      <c r="DU110" s="43"/>
      <c r="DV110" s="50">
        <f t="shared" si="23"/>
        <v>361.19</v>
      </c>
      <c r="DX110" s="52"/>
      <c r="DY110" s="43"/>
      <c r="DZ110" s="53">
        <f t="shared" si="24"/>
        <v>367.43999999999994</v>
      </c>
      <c r="EB110" s="52"/>
      <c r="EC110" s="43"/>
      <c r="ED110" s="53">
        <f t="shared" si="25"/>
        <v>0</v>
      </c>
      <c r="EF110" s="52"/>
      <c r="EG110" s="43"/>
      <c r="EH110" s="53">
        <f t="shared" si="26"/>
        <v>1048.04</v>
      </c>
      <c r="EJ110" s="65"/>
      <c r="EK110" s="7"/>
      <c r="EL110" s="53">
        <f t="shared" si="27"/>
        <v>25.299999999999997</v>
      </c>
      <c r="EN110" s="51">
        <f t="shared" si="28"/>
        <v>-5786.2733333333244</v>
      </c>
      <c r="EP110" s="60">
        <f t="shared" si="29"/>
        <v>0</v>
      </c>
      <c r="EQ110" s="61">
        <f t="shared" si="30"/>
        <v>0</v>
      </c>
      <c r="ER110" s="15">
        <f t="shared" si="31"/>
        <v>0</v>
      </c>
      <c r="ES110" s="62">
        <f t="shared" si="33"/>
        <v>0</v>
      </c>
      <c r="EU110" s="6">
        <v>100</v>
      </c>
    </row>
    <row r="111" spans="1:151" ht="14.45" customHeight="1" x14ac:dyDescent="0.45">
      <c r="A111" s="67">
        <v>45537</v>
      </c>
      <c r="B111" s="25" t="s">
        <v>805</v>
      </c>
      <c r="C111" s="10" t="s">
        <v>807</v>
      </c>
      <c r="D111" s="7"/>
      <c r="E111" s="43">
        <v>70</v>
      </c>
      <c r="F111" s="43">
        <v>2.19</v>
      </c>
      <c r="G111" s="16">
        <f t="shared" si="18"/>
        <v>10294.240000000009</v>
      </c>
      <c r="H111" s="64" t="s">
        <v>625</v>
      </c>
      <c r="I111" s="52"/>
      <c r="J111" s="43"/>
      <c r="K111" s="43"/>
      <c r="L111" s="43"/>
      <c r="M111" s="43"/>
      <c r="N111" s="43"/>
      <c r="O111" s="43"/>
      <c r="P111" s="43"/>
      <c r="Q111" s="43"/>
      <c r="R111" s="43"/>
      <c r="S111" s="43"/>
      <c r="T111" s="43"/>
      <c r="U111" s="43"/>
      <c r="V111" s="43"/>
      <c r="W111" s="43"/>
      <c r="X111" s="43"/>
      <c r="Y111" s="43">
        <v>70</v>
      </c>
      <c r="Z111" s="43"/>
      <c r="AA111" s="43"/>
      <c r="AB111" s="43"/>
      <c r="AC111" s="43"/>
      <c r="AD111" s="43"/>
      <c r="AE111" s="43"/>
      <c r="AF111" s="43"/>
      <c r="AG111" s="43"/>
      <c r="AH111" s="43"/>
      <c r="AI111" s="43"/>
      <c r="AJ111" s="43"/>
      <c r="AK111" s="43"/>
      <c r="AL111" s="43"/>
      <c r="AM111" s="43"/>
      <c r="AN111" s="43"/>
      <c r="AO111" s="43"/>
      <c r="AP111" s="43"/>
      <c r="AQ111" s="43"/>
      <c r="AR111" s="53"/>
      <c r="AS111" s="52"/>
      <c r="AT111" s="43"/>
      <c r="AU111" s="43"/>
      <c r="AV111" s="43"/>
      <c r="AW111" s="43"/>
      <c r="AX111" s="43"/>
      <c r="AY111" s="43">
        <v>2.19</v>
      </c>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53"/>
      <c r="BX111" s="30">
        <f t="shared" si="17"/>
        <v>0</v>
      </c>
      <c r="BY111" s="52"/>
      <c r="BZ111" s="43"/>
      <c r="CA111" s="43">
        <v>70</v>
      </c>
      <c r="CB111" s="43"/>
      <c r="CC111" s="43"/>
      <c r="CD111" s="43"/>
      <c r="CE111" s="43"/>
      <c r="CF111" s="43"/>
      <c r="CG111" s="53"/>
      <c r="CH111" s="52"/>
      <c r="CI111" s="43"/>
      <c r="CJ111" s="43"/>
      <c r="CK111" s="43"/>
      <c r="CL111" s="43"/>
      <c r="CM111" s="43"/>
      <c r="CN111" s="43"/>
      <c r="CO111" s="43"/>
      <c r="CP111" s="43"/>
      <c r="CQ111" s="43"/>
      <c r="CR111" s="43"/>
      <c r="CS111" s="43"/>
      <c r="CT111" s="43"/>
      <c r="CU111" s="43"/>
      <c r="CV111" s="43"/>
      <c r="CW111" s="43"/>
      <c r="CX111" s="43"/>
      <c r="CY111" s="43"/>
      <c r="CZ111" s="7"/>
      <c r="DA111" s="7"/>
      <c r="DB111" s="43">
        <v>2.19</v>
      </c>
      <c r="DC111" s="43"/>
      <c r="DD111" s="53"/>
      <c r="DE111" s="73">
        <f t="shared" si="19"/>
        <v>0</v>
      </c>
      <c r="DG111" s="52"/>
      <c r="DH111" s="43"/>
      <c r="DI111" s="50">
        <f t="shared" si="20"/>
        <v>5482.0033333333331</v>
      </c>
      <c r="DK111" s="52">
        <v>70</v>
      </c>
      <c r="DL111" s="43">
        <v>2.19</v>
      </c>
      <c r="DM111" s="50">
        <f t="shared" si="21"/>
        <v>1757.5699999999997</v>
      </c>
      <c r="DO111" s="52"/>
      <c r="DP111" s="43"/>
      <c r="DQ111" s="50">
        <f t="shared" si="22"/>
        <v>7038.9700000000012</v>
      </c>
      <c r="DT111" s="52"/>
      <c r="DU111" s="43"/>
      <c r="DV111" s="50">
        <f t="shared" si="23"/>
        <v>361.19</v>
      </c>
      <c r="DX111" s="52"/>
      <c r="DY111" s="43"/>
      <c r="DZ111" s="53">
        <f t="shared" si="24"/>
        <v>367.43999999999994</v>
      </c>
      <c r="EB111" s="52"/>
      <c r="EC111" s="43"/>
      <c r="ED111" s="53">
        <f t="shared" si="25"/>
        <v>0</v>
      </c>
      <c r="EF111" s="52"/>
      <c r="EG111" s="43"/>
      <c r="EH111" s="53">
        <f t="shared" si="26"/>
        <v>1048.04</v>
      </c>
      <c r="EJ111" s="65"/>
      <c r="EK111" s="7"/>
      <c r="EL111" s="53">
        <f t="shared" si="27"/>
        <v>25.299999999999997</v>
      </c>
      <c r="EN111" s="51">
        <f t="shared" si="28"/>
        <v>-5786.2733333333244</v>
      </c>
      <c r="EP111" s="60">
        <f t="shared" si="29"/>
        <v>0</v>
      </c>
      <c r="EQ111" s="61">
        <f t="shared" si="30"/>
        <v>0</v>
      </c>
      <c r="ER111" s="15">
        <f t="shared" si="31"/>
        <v>0</v>
      </c>
      <c r="ES111" s="163">
        <f t="shared" si="33"/>
        <v>0</v>
      </c>
      <c r="EU111">
        <v>101</v>
      </c>
    </row>
    <row r="112" spans="1:151" x14ac:dyDescent="0.45">
      <c r="A112" s="67">
        <v>45538</v>
      </c>
      <c r="B112" s="25" t="s">
        <v>806</v>
      </c>
      <c r="C112" s="10" t="s">
        <v>808</v>
      </c>
      <c r="D112" s="7"/>
      <c r="E112" s="43">
        <v>140</v>
      </c>
      <c r="F112" s="43">
        <v>4.38</v>
      </c>
      <c r="G112" s="16">
        <f t="shared" si="18"/>
        <v>10429.86000000001</v>
      </c>
      <c r="H112" s="64" t="s">
        <v>625</v>
      </c>
      <c r="I112" s="52"/>
      <c r="J112" s="43"/>
      <c r="K112" s="43"/>
      <c r="L112" s="43"/>
      <c r="M112" s="43"/>
      <c r="N112" s="43"/>
      <c r="O112" s="43"/>
      <c r="P112" s="43"/>
      <c r="Q112" s="43"/>
      <c r="R112" s="43"/>
      <c r="S112" s="43"/>
      <c r="T112" s="43"/>
      <c r="U112" s="43"/>
      <c r="V112" s="43"/>
      <c r="W112" s="43"/>
      <c r="X112" s="43"/>
      <c r="Y112" s="43">
        <v>140</v>
      </c>
      <c r="Z112" s="43"/>
      <c r="AA112" s="43"/>
      <c r="AB112" s="43"/>
      <c r="AC112" s="43"/>
      <c r="AD112" s="43"/>
      <c r="AE112" s="43"/>
      <c r="AF112" s="43"/>
      <c r="AG112" s="43"/>
      <c r="AH112" s="43"/>
      <c r="AI112" s="43"/>
      <c r="AJ112" s="43"/>
      <c r="AK112" s="43"/>
      <c r="AL112" s="43"/>
      <c r="AM112" s="43"/>
      <c r="AN112" s="43"/>
      <c r="AO112" s="43"/>
      <c r="AP112" s="43"/>
      <c r="AQ112" s="43"/>
      <c r="AR112" s="53"/>
      <c r="AS112" s="52"/>
      <c r="AT112" s="43"/>
      <c r="AU112" s="43"/>
      <c r="AV112" s="43"/>
      <c r="AW112" s="43"/>
      <c r="AX112" s="43"/>
      <c r="AY112" s="43">
        <v>4.38</v>
      </c>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53"/>
      <c r="BX112" s="30">
        <f t="shared" si="17"/>
        <v>0</v>
      </c>
      <c r="BY112" s="52"/>
      <c r="BZ112" s="43"/>
      <c r="CA112" s="43">
        <v>140</v>
      </c>
      <c r="CB112" s="43"/>
      <c r="CC112" s="43"/>
      <c r="CD112" s="43"/>
      <c r="CE112" s="43"/>
      <c r="CF112" s="43"/>
      <c r="CG112" s="53"/>
      <c r="CH112" s="52"/>
      <c r="CI112" s="43"/>
      <c r="CJ112" s="43"/>
      <c r="CK112" s="43"/>
      <c r="CL112" s="43"/>
      <c r="CM112" s="43"/>
      <c r="CN112" s="43"/>
      <c r="CO112" s="43"/>
      <c r="CP112" s="43"/>
      <c r="CQ112" s="43"/>
      <c r="CR112" s="43"/>
      <c r="CS112" s="43"/>
      <c r="CT112" s="43"/>
      <c r="CU112" s="43"/>
      <c r="CV112" s="43"/>
      <c r="CW112" s="43"/>
      <c r="CX112" s="43"/>
      <c r="CY112" s="43"/>
      <c r="CZ112" s="7"/>
      <c r="DA112" s="7"/>
      <c r="DB112" s="43">
        <v>4.38</v>
      </c>
      <c r="DC112" s="43"/>
      <c r="DD112" s="53"/>
      <c r="DE112" s="73">
        <f t="shared" si="19"/>
        <v>0</v>
      </c>
      <c r="DG112" s="52"/>
      <c r="DH112" s="43"/>
      <c r="DI112" s="50">
        <f t="shared" si="20"/>
        <v>5482.0033333333331</v>
      </c>
      <c r="DK112" s="52">
        <v>140</v>
      </c>
      <c r="DL112" s="43">
        <v>4.38</v>
      </c>
      <c r="DM112" s="50">
        <f t="shared" si="21"/>
        <v>1893.1899999999996</v>
      </c>
      <c r="DO112" s="52"/>
      <c r="DP112" s="43"/>
      <c r="DQ112" s="50">
        <f t="shared" si="22"/>
        <v>7038.9700000000012</v>
      </c>
      <c r="DT112" s="52"/>
      <c r="DU112" s="43"/>
      <c r="DV112" s="50">
        <f t="shared" si="23"/>
        <v>361.19</v>
      </c>
      <c r="DX112" s="52"/>
      <c r="DY112" s="43"/>
      <c r="DZ112" s="53">
        <f t="shared" si="24"/>
        <v>367.43999999999994</v>
      </c>
      <c r="EB112" s="52"/>
      <c r="EC112" s="43"/>
      <c r="ED112" s="53">
        <f t="shared" si="25"/>
        <v>0</v>
      </c>
      <c r="EF112" s="52"/>
      <c r="EG112" s="43"/>
      <c r="EH112" s="53">
        <f t="shared" si="26"/>
        <v>1048.04</v>
      </c>
      <c r="EJ112" s="65"/>
      <c r="EK112" s="7"/>
      <c r="EL112" s="53">
        <f t="shared" si="27"/>
        <v>25.299999999999997</v>
      </c>
      <c r="EN112" s="51">
        <f t="shared" si="28"/>
        <v>-5786.2733333333235</v>
      </c>
      <c r="EP112" s="60">
        <f t="shared" si="29"/>
        <v>0</v>
      </c>
      <c r="EQ112" s="61">
        <f t="shared" si="30"/>
        <v>0</v>
      </c>
      <c r="ER112" s="15">
        <f t="shared" si="31"/>
        <v>0</v>
      </c>
      <c r="ES112" s="62">
        <f t="shared" si="33"/>
        <v>0</v>
      </c>
      <c r="EU112" s="6">
        <v>102</v>
      </c>
    </row>
    <row r="113" spans="1:151" x14ac:dyDescent="0.45">
      <c r="A113" s="67">
        <v>45538</v>
      </c>
      <c r="B113" s="25" t="s">
        <v>805</v>
      </c>
      <c r="C113" s="10" t="s">
        <v>809</v>
      </c>
      <c r="D113" s="7"/>
      <c r="E113" s="43">
        <v>210</v>
      </c>
      <c r="F113" s="43">
        <f>4.38+2.19</f>
        <v>6.57</v>
      </c>
      <c r="G113" s="16">
        <f t="shared" si="18"/>
        <v>10633.29000000001</v>
      </c>
      <c r="H113" s="64" t="s">
        <v>625</v>
      </c>
      <c r="I113" s="52"/>
      <c r="J113" s="43"/>
      <c r="K113" s="43"/>
      <c r="L113" s="43"/>
      <c r="M113" s="43"/>
      <c r="N113" s="43"/>
      <c r="O113" s="43"/>
      <c r="P113" s="43"/>
      <c r="Q113" s="43"/>
      <c r="R113" s="43"/>
      <c r="S113" s="43"/>
      <c r="T113" s="43"/>
      <c r="U113" s="43"/>
      <c r="V113" s="43"/>
      <c r="W113" s="43"/>
      <c r="X113" s="43"/>
      <c r="Y113" s="43">
        <v>210</v>
      </c>
      <c r="Z113" s="43"/>
      <c r="AA113" s="43"/>
      <c r="AB113" s="43"/>
      <c r="AC113" s="43"/>
      <c r="AD113" s="43"/>
      <c r="AE113" s="43"/>
      <c r="AF113" s="43"/>
      <c r="AG113" s="43"/>
      <c r="AH113" s="43"/>
      <c r="AI113" s="43"/>
      <c r="AJ113" s="43"/>
      <c r="AK113" s="43"/>
      <c r="AL113" s="43"/>
      <c r="AM113" s="43"/>
      <c r="AN113" s="43"/>
      <c r="AO113" s="43"/>
      <c r="AP113" s="43"/>
      <c r="AQ113" s="43"/>
      <c r="AR113" s="53"/>
      <c r="AS113" s="52"/>
      <c r="AT113" s="43"/>
      <c r="AU113" s="43"/>
      <c r="AV113" s="43"/>
      <c r="AW113" s="43"/>
      <c r="AX113" s="43"/>
      <c r="AY113" s="43">
        <v>6.57</v>
      </c>
      <c r="AZ113" s="43"/>
      <c r="BA113" s="43"/>
      <c r="BB113" s="43"/>
      <c r="BC113" s="43"/>
      <c r="BD113" s="43"/>
      <c r="BE113" s="43"/>
      <c r="BF113" s="43"/>
      <c r="BG113" s="43"/>
      <c r="BH113" s="43"/>
      <c r="BI113" s="43"/>
      <c r="BJ113" s="43"/>
      <c r="BK113" s="43"/>
      <c r="BL113" s="43"/>
      <c r="BM113" s="43"/>
      <c r="BN113" s="43"/>
      <c r="BO113" s="43"/>
      <c r="BP113" s="43"/>
      <c r="BQ113" s="43"/>
      <c r="BR113" s="43"/>
      <c r="BS113" s="43"/>
      <c r="BT113" s="43"/>
      <c r="BU113" s="43"/>
      <c r="BV113" s="43"/>
      <c r="BW113" s="53"/>
      <c r="BX113" s="30">
        <f t="shared" si="17"/>
        <v>0</v>
      </c>
      <c r="BY113" s="52"/>
      <c r="BZ113" s="43"/>
      <c r="CA113" s="43">
        <v>210</v>
      </c>
      <c r="CB113" s="43"/>
      <c r="CC113" s="43"/>
      <c r="CD113" s="43"/>
      <c r="CE113" s="43"/>
      <c r="CF113" s="43"/>
      <c r="CG113" s="53"/>
      <c r="CH113" s="52"/>
      <c r="CI113" s="43"/>
      <c r="CJ113" s="43"/>
      <c r="CK113" s="43"/>
      <c r="CL113" s="43"/>
      <c r="CM113" s="43"/>
      <c r="CN113" s="43"/>
      <c r="CO113" s="43"/>
      <c r="CP113" s="43"/>
      <c r="CQ113" s="43"/>
      <c r="CR113" s="43"/>
      <c r="CS113" s="43"/>
      <c r="CT113" s="43"/>
      <c r="CU113" s="43"/>
      <c r="CV113" s="43"/>
      <c r="CW113" s="43"/>
      <c r="CX113" s="43"/>
      <c r="CY113" s="43"/>
      <c r="CZ113" s="7"/>
      <c r="DA113" s="7"/>
      <c r="DB113" s="43">
        <v>6.57</v>
      </c>
      <c r="DC113" s="43"/>
      <c r="DD113" s="53"/>
      <c r="DE113" s="73">
        <f t="shared" si="19"/>
        <v>0</v>
      </c>
      <c r="DG113" s="52"/>
      <c r="DH113" s="43"/>
      <c r="DI113" s="50">
        <f t="shared" si="20"/>
        <v>5482.0033333333331</v>
      </c>
      <c r="DK113" s="52">
        <v>210</v>
      </c>
      <c r="DL113" s="43">
        <v>6.57</v>
      </c>
      <c r="DM113" s="50">
        <f t="shared" si="21"/>
        <v>2096.6199999999994</v>
      </c>
      <c r="DO113" s="52"/>
      <c r="DP113" s="43"/>
      <c r="DQ113" s="50">
        <f t="shared" si="22"/>
        <v>7038.9700000000012</v>
      </c>
      <c r="DT113" s="52"/>
      <c r="DU113" s="43"/>
      <c r="DV113" s="50">
        <f t="shared" si="23"/>
        <v>361.19</v>
      </c>
      <c r="DX113" s="52"/>
      <c r="DY113" s="43"/>
      <c r="DZ113" s="53">
        <f t="shared" si="24"/>
        <v>367.43999999999994</v>
      </c>
      <c r="EB113" s="52"/>
      <c r="EC113" s="43"/>
      <c r="ED113" s="53">
        <f t="shared" si="25"/>
        <v>0</v>
      </c>
      <c r="EF113" s="52"/>
      <c r="EG113" s="43"/>
      <c r="EH113" s="53">
        <f t="shared" si="26"/>
        <v>1048.04</v>
      </c>
      <c r="EJ113" s="65"/>
      <c r="EK113" s="7"/>
      <c r="EL113" s="53">
        <f t="shared" si="27"/>
        <v>25.299999999999997</v>
      </c>
      <c r="EN113" s="51">
        <f t="shared" si="28"/>
        <v>-5786.2733333333235</v>
      </c>
      <c r="EP113" s="60">
        <f t="shared" si="29"/>
        <v>0</v>
      </c>
      <c r="EQ113" s="61">
        <f t="shared" si="30"/>
        <v>0</v>
      </c>
      <c r="ER113" s="15">
        <f t="shared" si="31"/>
        <v>0</v>
      </c>
      <c r="ES113" s="163">
        <f t="shared" si="33"/>
        <v>0</v>
      </c>
      <c r="EU113">
        <v>103</v>
      </c>
    </row>
    <row r="114" spans="1:151" x14ac:dyDescent="0.45">
      <c r="A114" s="67">
        <v>45539</v>
      </c>
      <c r="B114" s="25" t="s">
        <v>806</v>
      </c>
      <c r="C114" s="10" t="s">
        <v>810</v>
      </c>
      <c r="D114" s="7"/>
      <c r="E114" s="43">
        <v>70</v>
      </c>
      <c r="F114" s="43">
        <v>2.19</v>
      </c>
      <c r="G114" s="16">
        <f t="shared" si="18"/>
        <v>10701.100000000009</v>
      </c>
      <c r="H114" s="64" t="s">
        <v>625</v>
      </c>
      <c r="I114" s="52"/>
      <c r="J114" s="43"/>
      <c r="K114" s="43"/>
      <c r="L114" s="43"/>
      <c r="M114" s="43"/>
      <c r="N114" s="43"/>
      <c r="O114" s="43"/>
      <c r="P114" s="43"/>
      <c r="Q114" s="43"/>
      <c r="R114" s="43"/>
      <c r="S114" s="43"/>
      <c r="T114" s="43"/>
      <c r="U114" s="43"/>
      <c r="V114" s="43"/>
      <c r="W114" s="43"/>
      <c r="X114" s="43"/>
      <c r="Y114" s="43">
        <v>70</v>
      </c>
      <c r="Z114" s="43"/>
      <c r="AA114" s="43"/>
      <c r="AB114" s="43"/>
      <c r="AC114" s="43"/>
      <c r="AD114" s="43"/>
      <c r="AE114" s="43"/>
      <c r="AF114" s="43"/>
      <c r="AG114" s="43"/>
      <c r="AH114" s="43"/>
      <c r="AI114" s="43"/>
      <c r="AJ114" s="43"/>
      <c r="AK114" s="43"/>
      <c r="AL114" s="43"/>
      <c r="AM114" s="43"/>
      <c r="AN114" s="43"/>
      <c r="AO114" s="43"/>
      <c r="AP114" s="43"/>
      <c r="AQ114" s="43"/>
      <c r="AR114" s="53"/>
      <c r="AS114" s="52"/>
      <c r="AT114" s="43"/>
      <c r="AU114" s="43"/>
      <c r="AV114" s="43"/>
      <c r="AW114" s="43"/>
      <c r="AX114" s="43"/>
      <c r="AY114" s="43">
        <v>2.19</v>
      </c>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53"/>
      <c r="BX114" s="30">
        <f t="shared" si="17"/>
        <v>0</v>
      </c>
      <c r="BY114" s="52"/>
      <c r="BZ114" s="43"/>
      <c r="CA114" s="43">
        <v>70</v>
      </c>
      <c r="CB114" s="43"/>
      <c r="CC114" s="43"/>
      <c r="CD114" s="43"/>
      <c r="CE114" s="43"/>
      <c r="CF114" s="43"/>
      <c r="CG114" s="53"/>
      <c r="CH114" s="52"/>
      <c r="CI114" s="43"/>
      <c r="CJ114" s="43"/>
      <c r="CK114" s="43"/>
      <c r="CL114" s="43"/>
      <c r="CM114" s="43"/>
      <c r="CN114" s="43"/>
      <c r="CO114" s="43"/>
      <c r="CP114" s="43"/>
      <c r="CQ114" s="43"/>
      <c r="CR114" s="43"/>
      <c r="CS114" s="43"/>
      <c r="CT114" s="43"/>
      <c r="CU114" s="43"/>
      <c r="CV114" s="43"/>
      <c r="CW114" s="43"/>
      <c r="CX114" s="43"/>
      <c r="CY114" s="43"/>
      <c r="CZ114" s="7"/>
      <c r="DA114" s="7"/>
      <c r="DB114" s="43">
        <v>2.19</v>
      </c>
      <c r="DC114" s="43"/>
      <c r="DD114" s="53"/>
      <c r="DE114" s="73">
        <f t="shared" si="19"/>
        <v>0</v>
      </c>
      <c r="DG114" s="52"/>
      <c r="DH114" s="43"/>
      <c r="DI114" s="50">
        <f t="shared" si="20"/>
        <v>5482.0033333333331</v>
      </c>
      <c r="DK114" s="52">
        <v>70</v>
      </c>
      <c r="DL114" s="43">
        <v>2.19</v>
      </c>
      <c r="DM114" s="50">
        <f t="shared" si="21"/>
        <v>2164.4299999999994</v>
      </c>
      <c r="DO114" s="52"/>
      <c r="DP114" s="43"/>
      <c r="DQ114" s="50">
        <f t="shared" si="22"/>
        <v>7038.9700000000012</v>
      </c>
      <c r="DT114" s="52"/>
      <c r="DU114" s="43"/>
      <c r="DV114" s="50">
        <f t="shared" si="23"/>
        <v>361.19</v>
      </c>
      <c r="DX114" s="52"/>
      <c r="DY114" s="43"/>
      <c r="DZ114" s="53">
        <f t="shared" si="24"/>
        <v>367.43999999999994</v>
      </c>
      <c r="EB114" s="52"/>
      <c r="EC114" s="43"/>
      <c r="ED114" s="53">
        <f t="shared" si="25"/>
        <v>0</v>
      </c>
      <c r="EF114" s="52"/>
      <c r="EG114" s="43"/>
      <c r="EH114" s="53">
        <f t="shared" si="26"/>
        <v>1048.04</v>
      </c>
      <c r="EJ114" s="65"/>
      <c r="EK114" s="7"/>
      <c r="EL114" s="53">
        <f t="shared" si="27"/>
        <v>25.299999999999997</v>
      </c>
      <c r="EN114" s="51">
        <f t="shared" si="28"/>
        <v>-5786.2733333333235</v>
      </c>
      <c r="EP114" s="60">
        <f t="shared" si="29"/>
        <v>0</v>
      </c>
      <c r="EQ114" s="61">
        <f t="shared" si="30"/>
        <v>0</v>
      </c>
      <c r="ER114" s="15">
        <f t="shared" si="31"/>
        <v>0</v>
      </c>
      <c r="ES114" s="62">
        <f t="shared" si="33"/>
        <v>0</v>
      </c>
      <c r="EU114" s="6">
        <v>104</v>
      </c>
    </row>
    <row r="115" spans="1:151" x14ac:dyDescent="0.45">
      <c r="A115" s="67">
        <v>45539</v>
      </c>
      <c r="B115" s="25" t="s">
        <v>785</v>
      </c>
      <c r="C115" s="10" t="s">
        <v>812</v>
      </c>
      <c r="D115" s="7"/>
      <c r="E115" s="43">
        <v>10</v>
      </c>
      <c r="F115" s="43">
        <f>0.28+0.2</f>
        <v>0.48000000000000004</v>
      </c>
      <c r="G115" s="16">
        <f t="shared" si="18"/>
        <v>10710.62000000001</v>
      </c>
      <c r="H115" s="64" t="s">
        <v>625</v>
      </c>
      <c r="I115" s="52"/>
      <c r="J115" s="43"/>
      <c r="K115" s="43"/>
      <c r="L115" s="43"/>
      <c r="M115" s="43"/>
      <c r="N115" s="43"/>
      <c r="O115" s="43"/>
      <c r="P115" s="43"/>
      <c r="Q115" s="43"/>
      <c r="R115" s="43"/>
      <c r="S115" s="43"/>
      <c r="T115" s="43"/>
      <c r="U115" s="43"/>
      <c r="V115" s="43"/>
      <c r="W115" s="43"/>
      <c r="X115" s="43"/>
      <c r="Y115" s="43"/>
      <c r="Z115" s="43">
        <v>10</v>
      </c>
      <c r="AA115" s="43"/>
      <c r="AB115" s="43"/>
      <c r="AC115" s="43"/>
      <c r="AD115" s="43"/>
      <c r="AE115" s="43"/>
      <c r="AF115" s="43"/>
      <c r="AG115" s="43"/>
      <c r="AH115" s="43"/>
      <c r="AI115" s="43"/>
      <c r="AJ115" s="43"/>
      <c r="AK115" s="43"/>
      <c r="AL115" s="43"/>
      <c r="AM115" s="43"/>
      <c r="AN115" s="43"/>
      <c r="AO115" s="43"/>
      <c r="AP115" s="43"/>
      <c r="AQ115" s="43"/>
      <c r="AR115" s="53"/>
      <c r="AS115" s="52"/>
      <c r="AT115" s="43"/>
      <c r="AU115" s="43"/>
      <c r="AV115" s="43"/>
      <c r="AW115" s="43"/>
      <c r="AX115" s="43"/>
      <c r="AY115" s="43"/>
      <c r="AZ115" s="43">
        <v>0.48</v>
      </c>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53"/>
      <c r="BX115" s="30">
        <f t="shared" si="17"/>
        <v>0</v>
      </c>
      <c r="BY115" s="52"/>
      <c r="BZ115" s="43"/>
      <c r="CA115" s="43"/>
      <c r="CB115" s="43">
        <v>10</v>
      </c>
      <c r="CC115" s="43"/>
      <c r="CD115" s="43"/>
      <c r="CE115" s="43"/>
      <c r="CF115" s="43"/>
      <c r="CG115" s="53"/>
      <c r="CH115" s="52"/>
      <c r="CI115" s="43"/>
      <c r="CJ115" s="43"/>
      <c r="CK115" s="43"/>
      <c r="CL115" s="43"/>
      <c r="CM115" s="43"/>
      <c r="CN115" s="43"/>
      <c r="CO115" s="43"/>
      <c r="CP115" s="43"/>
      <c r="CQ115" s="43"/>
      <c r="CR115" s="43"/>
      <c r="CS115" s="43"/>
      <c r="CT115" s="43"/>
      <c r="CU115" s="43"/>
      <c r="CV115" s="43"/>
      <c r="CW115" s="43"/>
      <c r="CX115" s="43"/>
      <c r="CY115" s="43"/>
      <c r="CZ115" s="7"/>
      <c r="DA115" s="7"/>
      <c r="DB115" s="43">
        <v>0.48</v>
      </c>
      <c r="DC115" s="43"/>
      <c r="DD115" s="53"/>
      <c r="DE115" s="73">
        <f t="shared" si="19"/>
        <v>0</v>
      </c>
      <c r="DG115" s="52"/>
      <c r="DH115" s="43"/>
      <c r="DI115" s="50">
        <f t="shared" si="20"/>
        <v>5482.0033333333331</v>
      </c>
      <c r="DK115" s="52"/>
      <c r="DL115" s="43"/>
      <c r="DM115" s="50">
        <f t="shared" si="21"/>
        <v>2164.4299999999994</v>
      </c>
      <c r="DO115" s="52">
        <v>10</v>
      </c>
      <c r="DP115" s="43">
        <v>0.48</v>
      </c>
      <c r="DQ115" s="50">
        <f t="shared" si="22"/>
        <v>7048.4900000000016</v>
      </c>
      <c r="DT115" s="52"/>
      <c r="DU115" s="43"/>
      <c r="DV115" s="50">
        <f t="shared" si="23"/>
        <v>361.19</v>
      </c>
      <c r="DX115" s="52"/>
      <c r="DY115" s="43"/>
      <c r="DZ115" s="53">
        <f t="shared" si="24"/>
        <v>367.43999999999994</v>
      </c>
      <c r="EB115" s="52"/>
      <c r="EC115" s="43"/>
      <c r="ED115" s="53">
        <f t="shared" si="25"/>
        <v>0</v>
      </c>
      <c r="EF115" s="52"/>
      <c r="EG115" s="43"/>
      <c r="EH115" s="53">
        <f t="shared" si="26"/>
        <v>1048.04</v>
      </c>
      <c r="EJ115" s="65"/>
      <c r="EK115" s="7"/>
      <c r="EL115" s="53">
        <f t="shared" si="27"/>
        <v>25.299999999999997</v>
      </c>
      <c r="EN115" s="51">
        <f t="shared" si="28"/>
        <v>-5786.2733333333235</v>
      </c>
      <c r="EP115" s="60">
        <f t="shared" si="29"/>
        <v>0</v>
      </c>
      <c r="EQ115" s="61">
        <f t="shared" si="30"/>
        <v>0</v>
      </c>
      <c r="ER115" s="15">
        <f t="shared" si="31"/>
        <v>0</v>
      </c>
      <c r="ES115" s="163">
        <f t="shared" si="33"/>
        <v>0</v>
      </c>
      <c r="EU115">
        <v>105</v>
      </c>
    </row>
    <row r="116" spans="1:151" x14ac:dyDescent="0.45">
      <c r="A116" s="67">
        <v>45540</v>
      </c>
      <c r="B116" s="25" t="s">
        <v>806</v>
      </c>
      <c r="C116" s="10" t="s">
        <v>811</v>
      </c>
      <c r="D116" s="7"/>
      <c r="E116" s="43">
        <v>70</v>
      </c>
      <c r="F116" s="43">
        <f>0.82+1.37</f>
        <v>2.19</v>
      </c>
      <c r="G116" s="16">
        <f t="shared" si="18"/>
        <v>10778.430000000009</v>
      </c>
      <c r="H116" s="64" t="s">
        <v>625</v>
      </c>
      <c r="I116" s="52"/>
      <c r="J116" s="43"/>
      <c r="K116" s="43"/>
      <c r="L116" s="43"/>
      <c r="M116" s="43"/>
      <c r="N116" s="43"/>
      <c r="O116" s="43"/>
      <c r="P116" s="43"/>
      <c r="Q116" s="43"/>
      <c r="R116" s="43"/>
      <c r="S116" s="43"/>
      <c r="T116" s="43"/>
      <c r="U116" s="43"/>
      <c r="V116" s="43"/>
      <c r="W116" s="43"/>
      <c r="X116" s="43"/>
      <c r="Y116" s="43">
        <v>70</v>
      </c>
      <c r="Z116" s="43"/>
      <c r="AA116" s="43"/>
      <c r="AB116" s="43"/>
      <c r="AC116" s="43"/>
      <c r="AD116" s="43"/>
      <c r="AE116" s="43"/>
      <c r="AF116" s="43"/>
      <c r="AG116" s="43"/>
      <c r="AH116" s="43"/>
      <c r="AI116" s="43"/>
      <c r="AJ116" s="43"/>
      <c r="AK116" s="43"/>
      <c r="AL116" s="43"/>
      <c r="AM116" s="43"/>
      <c r="AN116" s="43"/>
      <c r="AO116" s="43"/>
      <c r="AP116" s="43"/>
      <c r="AQ116" s="43"/>
      <c r="AR116" s="53"/>
      <c r="AS116" s="52"/>
      <c r="AT116" s="43"/>
      <c r="AU116" s="43"/>
      <c r="AV116" s="43"/>
      <c r="AW116" s="43"/>
      <c r="AX116" s="43"/>
      <c r="AY116" s="43">
        <v>2.19</v>
      </c>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53"/>
      <c r="BX116" s="30">
        <f t="shared" si="17"/>
        <v>0</v>
      </c>
      <c r="BY116" s="52"/>
      <c r="BZ116" s="43"/>
      <c r="CA116" s="43">
        <v>70</v>
      </c>
      <c r="CB116" s="43"/>
      <c r="CC116" s="43"/>
      <c r="CD116" s="43"/>
      <c r="CE116" s="43"/>
      <c r="CF116" s="43"/>
      <c r="CG116" s="53"/>
      <c r="CH116" s="52"/>
      <c r="CI116" s="43"/>
      <c r="CJ116" s="43"/>
      <c r="CK116" s="43"/>
      <c r="CL116" s="43"/>
      <c r="CM116" s="43"/>
      <c r="CN116" s="43"/>
      <c r="CO116" s="43"/>
      <c r="CP116" s="43"/>
      <c r="CQ116" s="43"/>
      <c r="CR116" s="43"/>
      <c r="CS116" s="43"/>
      <c r="CT116" s="43"/>
      <c r="CU116" s="43"/>
      <c r="CV116" s="43"/>
      <c r="CW116" s="43"/>
      <c r="CX116" s="43"/>
      <c r="CY116" s="43"/>
      <c r="CZ116" s="7"/>
      <c r="DA116" s="7"/>
      <c r="DB116" s="43">
        <v>2.19</v>
      </c>
      <c r="DC116" s="43"/>
      <c r="DD116" s="53"/>
      <c r="DE116" s="73">
        <f t="shared" si="19"/>
        <v>0</v>
      </c>
      <c r="DG116" s="52"/>
      <c r="DH116" s="43"/>
      <c r="DI116" s="50">
        <f t="shared" si="20"/>
        <v>5482.0033333333331</v>
      </c>
      <c r="DK116" s="52">
        <v>70</v>
      </c>
      <c r="DL116" s="43">
        <v>2.19</v>
      </c>
      <c r="DM116" s="50">
        <f t="shared" si="21"/>
        <v>2232.2399999999993</v>
      </c>
      <c r="DO116" s="52"/>
      <c r="DP116" s="43"/>
      <c r="DQ116" s="50">
        <f t="shared" si="22"/>
        <v>7048.4900000000016</v>
      </c>
      <c r="DT116" s="52"/>
      <c r="DU116" s="43"/>
      <c r="DV116" s="50">
        <f t="shared" si="23"/>
        <v>361.19</v>
      </c>
      <c r="DX116" s="52"/>
      <c r="DY116" s="43"/>
      <c r="DZ116" s="53">
        <f t="shared" si="24"/>
        <v>367.43999999999994</v>
      </c>
      <c r="EB116" s="52"/>
      <c r="EC116" s="43"/>
      <c r="ED116" s="53">
        <f t="shared" si="25"/>
        <v>0</v>
      </c>
      <c r="EF116" s="52"/>
      <c r="EG116" s="43"/>
      <c r="EH116" s="53">
        <f t="shared" si="26"/>
        <v>1048.04</v>
      </c>
      <c r="EJ116" s="65"/>
      <c r="EK116" s="7"/>
      <c r="EL116" s="53">
        <f t="shared" si="27"/>
        <v>25.299999999999997</v>
      </c>
      <c r="EN116" s="51">
        <f t="shared" si="28"/>
        <v>-5786.2733333333244</v>
      </c>
      <c r="EP116" s="60">
        <f t="shared" si="29"/>
        <v>0</v>
      </c>
      <c r="EQ116" s="61">
        <f t="shared" si="30"/>
        <v>0</v>
      </c>
      <c r="ER116" s="15">
        <f t="shared" si="31"/>
        <v>0</v>
      </c>
      <c r="ES116" s="62">
        <f t="shared" si="33"/>
        <v>0</v>
      </c>
      <c r="EU116" s="6">
        <v>106</v>
      </c>
    </row>
    <row r="117" spans="1:151" x14ac:dyDescent="0.45">
      <c r="A117" s="67">
        <v>45540</v>
      </c>
      <c r="B117" s="25" t="s">
        <v>813</v>
      </c>
      <c r="C117" s="10" t="s">
        <v>622</v>
      </c>
      <c r="D117" s="7"/>
      <c r="E117" s="43"/>
      <c r="F117" s="43">
        <v>86</v>
      </c>
      <c r="G117" s="16">
        <f t="shared" si="18"/>
        <v>10692.430000000009</v>
      </c>
      <c r="H117" s="64" t="s">
        <v>625</v>
      </c>
      <c r="I117" s="52"/>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53"/>
      <c r="AS117" s="52"/>
      <c r="AT117" s="43"/>
      <c r="AU117" s="43"/>
      <c r="AV117" s="43"/>
      <c r="AW117" s="43"/>
      <c r="AX117" s="43"/>
      <c r="AY117" s="43"/>
      <c r="AZ117" s="43">
        <v>43</v>
      </c>
      <c r="BA117" s="43">
        <v>43</v>
      </c>
      <c r="BB117" s="43"/>
      <c r="BC117" s="43"/>
      <c r="BD117" s="43"/>
      <c r="BE117" s="43"/>
      <c r="BF117" s="43"/>
      <c r="BG117" s="43"/>
      <c r="BH117" s="43"/>
      <c r="BI117" s="43"/>
      <c r="BJ117" s="43"/>
      <c r="BK117" s="43"/>
      <c r="BL117" s="43"/>
      <c r="BM117" s="43"/>
      <c r="BN117" s="43"/>
      <c r="BO117" s="43"/>
      <c r="BP117" s="43"/>
      <c r="BQ117" s="43"/>
      <c r="BR117" s="43"/>
      <c r="BS117" s="43"/>
      <c r="BT117" s="43"/>
      <c r="BU117" s="43"/>
      <c r="BV117" s="43"/>
      <c r="BW117" s="53"/>
      <c r="BX117" s="30">
        <f t="shared" si="17"/>
        <v>0</v>
      </c>
      <c r="BY117" s="52"/>
      <c r="BZ117" s="43"/>
      <c r="CA117" s="43"/>
      <c r="CB117" s="43"/>
      <c r="CC117" s="43"/>
      <c r="CD117" s="43"/>
      <c r="CE117" s="43"/>
      <c r="CF117" s="43"/>
      <c r="CG117" s="53"/>
      <c r="CH117" s="52"/>
      <c r="CI117" s="43"/>
      <c r="CJ117" s="43"/>
      <c r="CK117" s="43"/>
      <c r="CL117" s="43"/>
      <c r="CM117" s="43"/>
      <c r="CN117" s="43"/>
      <c r="CO117" s="43"/>
      <c r="CP117" s="43"/>
      <c r="CQ117" s="43"/>
      <c r="CR117" s="43"/>
      <c r="CS117" s="43"/>
      <c r="CT117" s="43"/>
      <c r="CU117" s="43"/>
      <c r="CV117" s="43"/>
      <c r="CW117" s="43"/>
      <c r="CX117" s="43"/>
      <c r="CY117" s="43"/>
      <c r="CZ117" s="7"/>
      <c r="DA117" s="7"/>
      <c r="DB117" s="43">
        <v>86</v>
      </c>
      <c r="DC117" s="43"/>
      <c r="DD117" s="53"/>
      <c r="DE117" s="73">
        <f t="shared" si="19"/>
        <v>0</v>
      </c>
      <c r="DG117" s="52"/>
      <c r="DH117" s="43"/>
      <c r="DI117" s="50">
        <f t="shared" si="20"/>
        <v>5482.0033333333331</v>
      </c>
      <c r="DK117" s="52"/>
      <c r="DL117" s="43"/>
      <c r="DM117" s="50">
        <f t="shared" si="21"/>
        <v>2232.2399999999993</v>
      </c>
      <c r="DO117" s="52"/>
      <c r="DP117" s="43">
        <v>43</v>
      </c>
      <c r="DQ117" s="50">
        <f t="shared" si="22"/>
        <v>7005.4900000000016</v>
      </c>
      <c r="DT117" s="52"/>
      <c r="DU117" s="43">
        <v>43</v>
      </c>
      <c r="DV117" s="50">
        <f t="shared" si="23"/>
        <v>318.19</v>
      </c>
      <c r="DX117" s="52"/>
      <c r="DY117" s="43"/>
      <c r="DZ117" s="53">
        <f t="shared" si="24"/>
        <v>367.43999999999994</v>
      </c>
      <c r="EB117" s="52"/>
      <c r="EC117" s="43"/>
      <c r="ED117" s="53">
        <f t="shared" si="25"/>
        <v>0</v>
      </c>
      <c r="EF117" s="52"/>
      <c r="EG117" s="43"/>
      <c r="EH117" s="53">
        <f t="shared" si="26"/>
        <v>1048.04</v>
      </c>
      <c r="EJ117" s="65"/>
      <c r="EK117" s="7"/>
      <c r="EL117" s="53">
        <f t="shared" si="27"/>
        <v>25.299999999999997</v>
      </c>
      <c r="EN117" s="51">
        <f t="shared" si="28"/>
        <v>-5786.2733333333244</v>
      </c>
      <c r="EP117" s="60">
        <f t="shared" si="29"/>
        <v>0</v>
      </c>
      <c r="EQ117" s="61">
        <f t="shared" si="30"/>
        <v>0</v>
      </c>
      <c r="ER117" s="15">
        <f t="shared" si="31"/>
        <v>0</v>
      </c>
      <c r="ES117" s="163">
        <f t="shared" si="33"/>
        <v>0</v>
      </c>
      <c r="EU117">
        <v>107</v>
      </c>
    </row>
    <row r="118" spans="1:151" x14ac:dyDescent="0.45">
      <c r="A118" s="67">
        <v>45544</v>
      </c>
      <c r="B118" s="25" t="s">
        <v>806</v>
      </c>
      <c r="C118" s="10" t="s">
        <v>811</v>
      </c>
      <c r="D118" s="7"/>
      <c r="E118" s="43">
        <v>140</v>
      </c>
      <c r="F118" s="43">
        <v>4.38</v>
      </c>
      <c r="G118" s="16">
        <f t="shared" si="18"/>
        <v>10828.05000000001</v>
      </c>
      <c r="H118" s="64" t="s">
        <v>625</v>
      </c>
      <c r="I118" s="52"/>
      <c r="J118" s="43"/>
      <c r="K118" s="43"/>
      <c r="L118" s="43"/>
      <c r="M118" s="43"/>
      <c r="N118" s="43"/>
      <c r="O118" s="43"/>
      <c r="P118" s="43"/>
      <c r="Q118" s="43"/>
      <c r="R118" s="43"/>
      <c r="S118" s="43"/>
      <c r="T118" s="43"/>
      <c r="U118" s="43"/>
      <c r="V118" s="43"/>
      <c r="W118" s="43"/>
      <c r="X118" s="43"/>
      <c r="Y118" s="43">
        <v>140</v>
      </c>
      <c r="Z118" s="43"/>
      <c r="AA118" s="43"/>
      <c r="AB118" s="43"/>
      <c r="AC118" s="43"/>
      <c r="AD118" s="43"/>
      <c r="AE118" s="43"/>
      <c r="AF118" s="43"/>
      <c r="AG118" s="43"/>
      <c r="AH118" s="43"/>
      <c r="AI118" s="43"/>
      <c r="AJ118" s="43"/>
      <c r="AK118" s="43"/>
      <c r="AL118" s="43"/>
      <c r="AM118" s="43"/>
      <c r="AN118" s="43"/>
      <c r="AO118" s="43"/>
      <c r="AP118" s="43"/>
      <c r="AQ118" s="43"/>
      <c r="AR118" s="53"/>
      <c r="AS118" s="52"/>
      <c r="AT118" s="43"/>
      <c r="AU118" s="43"/>
      <c r="AV118" s="43"/>
      <c r="AW118" s="43"/>
      <c r="AX118" s="43"/>
      <c r="AY118" s="43">
        <v>4.38</v>
      </c>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53"/>
      <c r="BX118" s="30">
        <f t="shared" si="17"/>
        <v>0</v>
      </c>
      <c r="BY118" s="52"/>
      <c r="BZ118" s="43"/>
      <c r="CA118" s="43">
        <v>140</v>
      </c>
      <c r="CB118" s="43"/>
      <c r="CC118" s="43"/>
      <c r="CD118" s="43"/>
      <c r="CE118" s="43"/>
      <c r="CF118" s="43"/>
      <c r="CG118" s="53"/>
      <c r="CH118" s="52"/>
      <c r="CI118" s="43"/>
      <c r="CJ118" s="43"/>
      <c r="CK118" s="43"/>
      <c r="CL118" s="43"/>
      <c r="CM118" s="43"/>
      <c r="CN118" s="43"/>
      <c r="CO118" s="43"/>
      <c r="CP118" s="43"/>
      <c r="CQ118" s="43"/>
      <c r="CR118" s="43"/>
      <c r="CS118" s="43"/>
      <c r="CT118" s="43"/>
      <c r="CU118" s="43"/>
      <c r="CV118" s="43"/>
      <c r="CW118" s="43"/>
      <c r="CX118" s="43"/>
      <c r="CY118" s="43"/>
      <c r="CZ118" s="7"/>
      <c r="DA118" s="7"/>
      <c r="DB118" s="43">
        <v>4.38</v>
      </c>
      <c r="DC118" s="43"/>
      <c r="DD118" s="53"/>
      <c r="DE118" s="73">
        <f t="shared" si="19"/>
        <v>0</v>
      </c>
      <c r="DG118" s="52"/>
      <c r="DH118" s="43"/>
      <c r="DI118" s="50">
        <f t="shared" si="20"/>
        <v>5482.0033333333331</v>
      </c>
      <c r="DK118" s="52">
        <v>140</v>
      </c>
      <c r="DL118" s="43">
        <v>4.38</v>
      </c>
      <c r="DM118" s="50">
        <f t="shared" si="21"/>
        <v>2367.8599999999992</v>
      </c>
      <c r="DO118" s="52"/>
      <c r="DP118" s="43"/>
      <c r="DQ118" s="50">
        <f t="shared" si="22"/>
        <v>7005.4900000000016</v>
      </c>
      <c r="DT118" s="52"/>
      <c r="DU118" s="43"/>
      <c r="DV118" s="50">
        <f t="shared" si="23"/>
        <v>318.19</v>
      </c>
      <c r="DX118" s="52"/>
      <c r="DY118" s="43"/>
      <c r="DZ118" s="53">
        <f t="shared" si="24"/>
        <v>367.43999999999994</v>
      </c>
      <c r="EB118" s="52"/>
      <c r="EC118" s="43"/>
      <c r="ED118" s="53">
        <f t="shared" si="25"/>
        <v>0</v>
      </c>
      <c r="EF118" s="52"/>
      <c r="EG118" s="43"/>
      <c r="EH118" s="53">
        <f t="shared" si="26"/>
        <v>1048.04</v>
      </c>
      <c r="EJ118" s="65"/>
      <c r="EK118" s="7"/>
      <c r="EL118" s="53">
        <f t="shared" si="27"/>
        <v>25.299999999999997</v>
      </c>
      <c r="EN118" s="51">
        <f t="shared" si="28"/>
        <v>-5786.2733333333235</v>
      </c>
      <c r="EP118" s="60">
        <f t="shared" si="29"/>
        <v>0</v>
      </c>
      <c r="EQ118" s="61">
        <f t="shared" si="30"/>
        <v>0</v>
      </c>
      <c r="ER118" s="15">
        <f t="shared" si="31"/>
        <v>0</v>
      </c>
      <c r="ES118" s="62">
        <f t="shared" si="33"/>
        <v>0</v>
      </c>
      <c r="EU118" s="6">
        <v>108</v>
      </c>
    </row>
    <row r="119" spans="1:151" x14ac:dyDescent="0.45">
      <c r="A119" s="67">
        <v>45544</v>
      </c>
      <c r="B119" s="25" t="s">
        <v>815</v>
      </c>
      <c r="C119" s="10" t="s">
        <v>714</v>
      </c>
      <c r="D119" s="7"/>
      <c r="E119" s="43">
        <v>650</v>
      </c>
      <c r="F119" s="43">
        <f>7.74+12.72</f>
        <v>20.46</v>
      </c>
      <c r="G119" s="16">
        <f t="shared" si="18"/>
        <v>11457.590000000011</v>
      </c>
      <c r="H119" s="64" t="s">
        <v>625</v>
      </c>
      <c r="I119" s="52"/>
      <c r="J119" s="43"/>
      <c r="K119" s="43"/>
      <c r="L119" s="43"/>
      <c r="M119" s="43"/>
      <c r="N119" s="43"/>
      <c r="O119" s="43"/>
      <c r="P119" s="43"/>
      <c r="Q119" s="43"/>
      <c r="R119" s="43"/>
      <c r="S119" s="43"/>
      <c r="T119" s="43"/>
      <c r="U119" s="43"/>
      <c r="V119" s="43"/>
      <c r="W119" s="43"/>
      <c r="X119" s="43"/>
      <c r="Y119" s="43">
        <v>650</v>
      </c>
      <c r="Z119" s="43"/>
      <c r="AA119" s="43"/>
      <c r="AB119" s="43"/>
      <c r="AC119" s="43"/>
      <c r="AD119" s="43"/>
      <c r="AE119" s="43"/>
      <c r="AF119" s="43"/>
      <c r="AG119" s="43"/>
      <c r="AH119" s="43"/>
      <c r="AI119" s="43"/>
      <c r="AJ119" s="43"/>
      <c r="AK119" s="43"/>
      <c r="AL119" s="43"/>
      <c r="AM119" s="43"/>
      <c r="AN119" s="43"/>
      <c r="AO119" s="43"/>
      <c r="AP119" s="43"/>
      <c r="AQ119" s="43"/>
      <c r="AR119" s="53"/>
      <c r="AS119" s="52"/>
      <c r="AT119" s="43"/>
      <c r="AU119" s="43"/>
      <c r="AV119" s="43"/>
      <c r="AW119" s="43"/>
      <c r="AX119" s="43"/>
      <c r="AY119" s="43">
        <v>20.46</v>
      </c>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53"/>
      <c r="BX119" s="30">
        <f t="shared" si="17"/>
        <v>0</v>
      </c>
      <c r="BY119" s="52"/>
      <c r="BZ119" s="43">
        <v>90</v>
      </c>
      <c r="CA119" s="43">
        <f>8*70</f>
        <v>560</v>
      </c>
      <c r="CB119" s="43"/>
      <c r="CC119" s="43"/>
      <c r="CD119" s="43"/>
      <c r="CE119" s="43"/>
      <c r="CF119" s="43"/>
      <c r="CG119" s="53"/>
      <c r="CH119" s="52"/>
      <c r="CI119" s="43"/>
      <c r="CJ119" s="43"/>
      <c r="CK119" s="43"/>
      <c r="CL119" s="43"/>
      <c r="CM119" s="43"/>
      <c r="CN119" s="43"/>
      <c r="CO119" s="43"/>
      <c r="CP119" s="43"/>
      <c r="CQ119" s="43"/>
      <c r="CR119" s="43"/>
      <c r="CS119" s="43"/>
      <c r="CT119" s="43"/>
      <c r="CU119" s="43"/>
      <c r="CV119" s="43"/>
      <c r="CW119" s="43"/>
      <c r="CX119" s="43"/>
      <c r="CY119" s="43"/>
      <c r="CZ119" s="7"/>
      <c r="DA119" s="7"/>
      <c r="DB119" s="43">
        <v>20.46</v>
      </c>
      <c r="DC119" s="43"/>
      <c r="DD119" s="53"/>
      <c r="DE119" s="73">
        <f t="shared" si="19"/>
        <v>0</v>
      </c>
      <c r="DG119" s="52"/>
      <c r="DH119" s="43"/>
      <c r="DI119" s="50">
        <f t="shared" si="20"/>
        <v>5482.0033333333331</v>
      </c>
      <c r="DK119" s="52">
        <v>650</v>
      </c>
      <c r="DL119" s="43">
        <v>20.46</v>
      </c>
      <c r="DM119" s="50">
        <f t="shared" si="21"/>
        <v>2997.3999999999992</v>
      </c>
      <c r="DO119" s="52"/>
      <c r="DP119" s="43"/>
      <c r="DQ119" s="50">
        <f t="shared" si="22"/>
        <v>7005.4900000000016</v>
      </c>
      <c r="DT119" s="52"/>
      <c r="DU119" s="43"/>
      <c r="DV119" s="50">
        <f t="shared" si="23"/>
        <v>318.19</v>
      </c>
      <c r="DX119" s="52"/>
      <c r="DY119" s="43"/>
      <c r="DZ119" s="53">
        <f t="shared" si="24"/>
        <v>367.43999999999994</v>
      </c>
      <c r="EB119" s="52"/>
      <c r="EC119" s="43"/>
      <c r="ED119" s="53">
        <f t="shared" si="25"/>
        <v>0</v>
      </c>
      <c r="EF119" s="52"/>
      <c r="EG119" s="43"/>
      <c r="EH119" s="53">
        <f t="shared" si="26"/>
        <v>1048.04</v>
      </c>
      <c r="EJ119" s="65"/>
      <c r="EK119" s="7"/>
      <c r="EL119" s="53">
        <f t="shared" si="27"/>
        <v>25.299999999999997</v>
      </c>
      <c r="EN119" s="51">
        <f t="shared" si="28"/>
        <v>-5786.2733333333226</v>
      </c>
      <c r="EP119" s="60">
        <f t="shared" si="29"/>
        <v>0</v>
      </c>
      <c r="EQ119" s="61">
        <f t="shared" si="30"/>
        <v>0</v>
      </c>
      <c r="ER119" s="15">
        <f t="shared" si="31"/>
        <v>0</v>
      </c>
      <c r="ES119" s="163">
        <f t="shared" si="33"/>
        <v>0</v>
      </c>
      <c r="ET119" t="s">
        <v>1004</v>
      </c>
      <c r="EU119">
        <v>109</v>
      </c>
    </row>
    <row r="120" spans="1:151" x14ac:dyDescent="0.45">
      <c r="A120" s="67">
        <v>45545</v>
      </c>
      <c r="B120" s="25" t="s">
        <v>816</v>
      </c>
      <c r="C120" s="10" t="s">
        <v>715</v>
      </c>
      <c r="D120" s="7"/>
      <c r="E120" s="43">
        <v>45</v>
      </c>
      <c r="F120" s="43">
        <f>45-43.53</f>
        <v>1.4699999999999989</v>
      </c>
      <c r="G120" s="16">
        <f t="shared" si="18"/>
        <v>11501.120000000012</v>
      </c>
      <c r="H120" s="64" t="s">
        <v>625</v>
      </c>
      <c r="I120" s="52"/>
      <c r="J120" s="43"/>
      <c r="K120" s="43"/>
      <c r="L120" s="43"/>
      <c r="M120" s="43"/>
      <c r="N120" s="43"/>
      <c r="O120" s="43"/>
      <c r="P120" s="43"/>
      <c r="Q120" s="43"/>
      <c r="R120" s="43"/>
      <c r="S120" s="43"/>
      <c r="T120" s="43"/>
      <c r="U120" s="43"/>
      <c r="V120" s="43"/>
      <c r="W120" s="43"/>
      <c r="X120" s="43"/>
      <c r="Y120" s="43">
        <v>45</v>
      </c>
      <c r="Z120" s="43"/>
      <c r="AA120" s="43"/>
      <c r="AB120" s="43"/>
      <c r="AC120" s="43"/>
      <c r="AD120" s="43"/>
      <c r="AE120" s="43"/>
      <c r="AF120" s="43"/>
      <c r="AG120" s="43"/>
      <c r="AH120" s="43"/>
      <c r="AI120" s="43"/>
      <c r="AJ120" s="43"/>
      <c r="AK120" s="43"/>
      <c r="AL120" s="43"/>
      <c r="AM120" s="43"/>
      <c r="AN120" s="43"/>
      <c r="AO120" s="43"/>
      <c r="AP120" s="43"/>
      <c r="AQ120" s="43"/>
      <c r="AR120" s="53"/>
      <c r="AS120" s="52"/>
      <c r="AT120" s="43"/>
      <c r="AU120" s="43"/>
      <c r="AV120" s="43"/>
      <c r="AW120" s="43"/>
      <c r="AX120" s="43"/>
      <c r="AY120" s="43">
        <v>1.47</v>
      </c>
      <c r="AZ120" s="43"/>
      <c r="BA120" s="43"/>
      <c r="BB120" s="43"/>
      <c r="BC120" s="43"/>
      <c r="BD120" s="43"/>
      <c r="BE120" s="43"/>
      <c r="BF120" s="43"/>
      <c r="BG120" s="43"/>
      <c r="BH120" s="43"/>
      <c r="BI120" s="43"/>
      <c r="BJ120" s="43"/>
      <c r="BK120" s="43"/>
      <c r="BL120" s="43"/>
      <c r="BM120" s="43"/>
      <c r="BN120" s="43"/>
      <c r="BO120" s="43"/>
      <c r="BP120" s="43"/>
      <c r="BQ120" s="43"/>
      <c r="BR120" s="43"/>
      <c r="BS120" s="43"/>
      <c r="BT120" s="43"/>
      <c r="BU120" s="43"/>
      <c r="BV120" s="43"/>
      <c r="BW120" s="53"/>
      <c r="BX120" s="30">
        <f t="shared" si="17"/>
        <v>0</v>
      </c>
      <c r="BY120" s="52"/>
      <c r="BZ120" s="43">
        <v>45</v>
      </c>
      <c r="CA120" s="43"/>
      <c r="CB120" s="43"/>
      <c r="CC120" s="43"/>
      <c r="CD120" s="43"/>
      <c r="CE120" s="43"/>
      <c r="CF120" s="43"/>
      <c r="CG120" s="53"/>
      <c r="CH120" s="52"/>
      <c r="CI120" s="43"/>
      <c r="CJ120" s="43"/>
      <c r="CK120" s="43"/>
      <c r="CL120" s="43"/>
      <c r="CM120" s="43"/>
      <c r="CN120" s="43"/>
      <c r="CO120" s="43"/>
      <c r="CP120" s="43"/>
      <c r="CQ120" s="43"/>
      <c r="CR120" s="43"/>
      <c r="CS120" s="43"/>
      <c r="CT120" s="43"/>
      <c r="CU120" s="43"/>
      <c r="CV120" s="43"/>
      <c r="CW120" s="43"/>
      <c r="CX120" s="43"/>
      <c r="CY120" s="43"/>
      <c r="CZ120" s="7"/>
      <c r="DA120" s="7"/>
      <c r="DB120" s="43">
        <v>1.47</v>
      </c>
      <c r="DC120" s="43"/>
      <c r="DD120" s="53"/>
      <c r="DE120" s="73">
        <f t="shared" si="19"/>
        <v>0</v>
      </c>
      <c r="DG120" s="52"/>
      <c r="DH120" s="43"/>
      <c r="DI120" s="50">
        <f t="shared" si="20"/>
        <v>5482.0033333333331</v>
      </c>
      <c r="DK120" s="52">
        <v>45</v>
      </c>
      <c r="DL120" s="43">
        <v>1.47</v>
      </c>
      <c r="DM120" s="50">
        <f t="shared" si="21"/>
        <v>3040.9299999999994</v>
      </c>
      <c r="DO120" s="52"/>
      <c r="DP120" s="43"/>
      <c r="DQ120" s="50">
        <f t="shared" si="22"/>
        <v>7005.4900000000016</v>
      </c>
      <c r="DT120" s="52"/>
      <c r="DU120" s="43"/>
      <c r="DV120" s="50">
        <f t="shared" si="23"/>
        <v>318.19</v>
      </c>
      <c r="DX120" s="52"/>
      <c r="DY120" s="43"/>
      <c r="DZ120" s="53">
        <f t="shared" si="24"/>
        <v>367.43999999999994</v>
      </c>
      <c r="EB120" s="52"/>
      <c r="EC120" s="43"/>
      <c r="ED120" s="53">
        <f t="shared" si="25"/>
        <v>0</v>
      </c>
      <c r="EF120" s="52"/>
      <c r="EG120" s="43"/>
      <c r="EH120" s="53">
        <f t="shared" si="26"/>
        <v>1048.04</v>
      </c>
      <c r="EJ120" s="65"/>
      <c r="EK120" s="7"/>
      <c r="EL120" s="53">
        <f t="shared" si="27"/>
        <v>25.299999999999997</v>
      </c>
      <c r="EN120" s="51">
        <f t="shared" si="28"/>
        <v>-5786.2733333333217</v>
      </c>
      <c r="EP120" s="60">
        <f t="shared" si="29"/>
        <v>0</v>
      </c>
      <c r="EQ120" s="61">
        <f t="shared" si="30"/>
        <v>0</v>
      </c>
      <c r="ER120" s="15">
        <f t="shared" si="31"/>
        <v>0</v>
      </c>
      <c r="ES120" s="62">
        <f t="shared" si="33"/>
        <v>0</v>
      </c>
      <c r="EU120" s="6">
        <v>110</v>
      </c>
    </row>
    <row r="121" spans="1:151" x14ac:dyDescent="0.45">
      <c r="A121" s="67">
        <v>45545</v>
      </c>
      <c r="B121" s="25" t="s">
        <v>817</v>
      </c>
      <c r="C121" s="10" t="s">
        <v>633</v>
      </c>
      <c r="D121" s="7"/>
      <c r="E121" s="43">
        <v>200</v>
      </c>
      <c r="F121" s="43"/>
      <c r="G121" s="16">
        <f t="shared" si="18"/>
        <v>11701.120000000012</v>
      </c>
      <c r="H121" s="64" t="s">
        <v>625</v>
      </c>
      <c r="I121" s="52"/>
      <c r="J121" s="43"/>
      <c r="K121" s="43"/>
      <c r="L121" s="43"/>
      <c r="M121" s="43"/>
      <c r="N121" s="43"/>
      <c r="O121" s="43"/>
      <c r="P121" s="43"/>
      <c r="Q121" s="43"/>
      <c r="R121" s="43"/>
      <c r="S121" s="43"/>
      <c r="T121" s="43"/>
      <c r="U121" s="43"/>
      <c r="V121" s="43"/>
      <c r="W121" s="43"/>
      <c r="X121" s="43"/>
      <c r="Y121" s="43"/>
      <c r="Z121" s="43"/>
      <c r="AA121" s="43">
        <v>200</v>
      </c>
      <c r="AB121" s="43"/>
      <c r="AC121" s="43"/>
      <c r="AD121" s="43"/>
      <c r="AE121" s="43"/>
      <c r="AF121" s="43"/>
      <c r="AG121" s="43"/>
      <c r="AH121" s="43"/>
      <c r="AI121" s="43"/>
      <c r="AJ121" s="43"/>
      <c r="AK121" s="43"/>
      <c r="AL121" s="43"/>
      <c r="AM121" s="43"/>
      <c r="AN121" s="43"/>
      <c r="AO121" s="43"/>
      <c r="AP121" s="43"/>
      <c r="AQ121" s="43"/>
      <c r="AR121" s="53"/>
      <c r="AS121" s="52"/>
      <c r="AT121" s="43"/>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c r="BU121" s="43"/>
      <c r="BV121" s="43"/>
      <c r="BW121" s="53"/>
      <c r="BX121" s="30">
        <f t="shared" si="17"/>
        <v>0</v>
      </c>
      <c r="BY121" s="52"/>
      <c r="BZ121" s="43"/>
      <c r="CA121" s="43"/>
      <c r="CB121" s="43"/>
      <c r="CC121" s="43"/>
      <c r="CD121" s="43"/>
      <c r="CE121" s="43">
        <v>200</v>
      </c>
      <c r="CF121" s="43"/>
      <c r="CG121" s="53"/>
      <c r="CH121" s="52"/>
      <c r="CI121" s="43"/>
      <c r="CJ121" s="43"/>
      <c r="CK121" s="43"/>
      <c r="CL121" s="43"/>
      <c r="CM121" s="43"/>
      <c r="CN121" s="43"/>
      <c r="CO121" s="43"/>
      <c r="CP121" s="43"/>
      <c r="CQ121" s="43"/>
      <c r="CR121" s="43"/>
      <c r="CS121" s="43"/>
      <c r="CT121" s="43"/>
      <c r="CU121" s="43"/>
      <c r="CV121" s="43"/>
      <c r="CW121" s="43"/>
      <c r="CX121" s="43"/>
      <c r="CY121" s="43"/>
      <c r="CZ121" s="7"/>
      <c r="DA121" s="7"/>
      <c r="DB121" s="43"/>
      <c r="DC121" s="43"/>
      <c r="DD121" s="53"/>
      <c r="DE121" s="73">
        <f t="shared" si="19"/>
        <v>0</v>
      </c>
      <c r="DG121" s="52"/>
      <c r="DH121" s="43"/>
      <c r="DI121" s="50">
        <f t="shared" si="20"/>
        <v>5482.0033333333331</v>
      </c>
      <c r="DK121" s="52"/>
      <c r="DL121" s="43"/>
      <c r="DM121" s="50">
        <f t="shared" si="21"/>
        <v>3040.9299999999994</v>
      </c>
      <c r="DO121" s="52"/>
      <c r="DP121" s="43"/>
      <c r="DQ121" s="50">
        <f t="shared" si="22"/>
        <v>7005.4900000000016</v>
      </c>
      <c r="DT121" s="52">
        <v>200</v>
      </c>
      <c r="DU121" s="43"/>
      <c r="DV121" s="50">
        <f t="shared" si="23"/>
        <v>518.19000000000005</v>
      </c>
      <c r="DX121" s="52"/>
      <c r="DY121" s="43"/>
      <c r="DZ121" s="53">
        <f t="shared" si="24"/>
        <v>367.43999999999994</v>
      </c>
      <c r="EB121" s="52"/>
      <c r="EC121" s="43"/>
      <c r="ED121" s="53">
        <f t="shared" si="25"/>
        <v>0</v>
      </c>
      <c r="EF121" s="52"/>
      <c r="EG121" s="43"/>
      <c r="EH121" s="53">
        <f t="shared" si="26"/>
        <v>1048.04</v>
      </c>
      <c r="EJ121" s="65"/>
      <c r="EK121" s="7"/>
      <c r="EL121" s="53">
        <f t="shared" si="27"/>
        <v>25.299999999999997</v>
      </c>
      <c r="EN121" s="51">
        <f t="shared" si="28"/>
        <v>-5786.2733333333217</v>
      </c>
      <c r="EP121" s="60">
        <f t="shared" si="29"/>
        <v>0</v>
      </c>
      <c r="EQ121" s="61">
        <f t="shared" si="30"/>
        <v>0</v>
      </c>
      <c r="ER121" s="15">
        <f t="shared" si="31"/>
        <v>0</v>
      </c>
      <c r="ES121" s="163">
        <f>+X121+Y121+Z121+AA121-BZ121-CA121-CB121-CC121-CE121</f>
        <v>0</v>
      </c>
      <c r="EU121">
        <v>111</v>
      </c>
    </row>
    <row r="122" spans="1:151" x14ac:dyDescent="0.45">
      <c r="A122" s="67">
        <v>45551</v>
      </c>
      <c r="B122" s="25" t="s">
        <v>745</v>
      </c>
      <c r="C122" s="10" t="s">
        <v>818</v>
      </c>
      <c r="D122" s="7"/>
      <c r="E122" s="43">
        <v>180</v>
      </c>
      <c r="F122" s="43">
        <f>2.36+3.52</f>
        <v>5.88</v>
      </c>
      <c r="G122" s="16">
        <f t="shared" si="18"/>
        <v>11875.240000000013</v>
      </c>
      <c r="H122" s="64" t="s">
        <v>625</v>
      </c>
      <c r="I122" s="52"/>
      <c r="J122" s="43"/>
      <c r="K122" s="43"/>
      <c r="L122" s="43"/>
      <c r="M122" s="43"/>
      <c r="N122" s="43"/>
      <c r="O122" s="43"/>
      <c r="P122" s="43"/>
      <c r="Q122" s="43"/>
      <c r="R122" s="43"/>
      <c r="S122" s="43"/>
      <c r="T122" s="43"/>
      <c r="U122" s="43"/>
      <c r="V122" s="43"/>
      <c r="W122" s="43"/>
      <c r="X122" s="43"/>
      <c r="Y122" s="43">
        <v>180</v>
      </c>
      <c r="Z122" s="43"/>
      <c r="AA122" s="43"/>
      <c r="AB122" s="43"/>
      <c r="AC122" s="43"/>
      <c r="AD122" s="43"/>
      <c r="AE122" s="43"/>
      <c r="AF122" s="43"/>
      <c r="AG122" s="43"/>
      <c r="AH122" s="43"/>
      <c r="AI122" s="43"/>
      <c r="AJ122" s="43"/>
      <c r="AK122" s="43"/>
      <c r="AL122" s="43"/>
      <c r="AM122" s="43"/>
      <c r="AN122" s="43"/>
      <c r="AO122" s="43"/>
      <c r="AP122" s="43"/>
      <c r="AQ122" s="43"/>
      <c r="AR122" s="53"/>
      <c r="AS122" s="52"/>
      <c r="AT122" s="43"/>
      <c r="AU122" s="43"/>
      <c r="AV122" s="43"/>
      <c r="AW122" s="43"/>
      <c r="AX122" s="43"/>
      <c r="AY122" s="43">
        <v>5.88</v>
      </c>
      <c r="AZ122" s="43"/>
      <c r="BA122" s="43"/>
      <c r="BB122" s="43"/>
      <c r="BC122" s="43"/>
      <c r="BD122" s="43"/>
      <c r="BE122" s="43"/>
      <c r="BF122" s="43"/>
      <c r="BG122" s="43"/>
      <c r="BH122" s="43"/>
      <c r="BI122" s="43"/>
      <c r="BJ122" s="43"/>
      <c r="BK122" s="43"/>
      <c r="BL122" s="43"/>
      <c r="BM122" s="43"/>
      <c r="BN122" s="43"/>
      <c r="BO122" s="43"/>
      <c r="BP122" s="43"/>
      <c r="BQ122" s="43"/>
      <c r="BR122" s="43"/>
      <c r="BS122" s="43"/>
      <c r="BT122" s="43"/>
      <c r="BU122" s="43"/>
      <c r="BV122" s="43"/>
      <c r="BW122" s="53"/>
      <c r="BX122" s="30">
        <f t="shared" si="17"/>
        <v>0</v>
      </c>
      <c r="BY122" s="52"/>
      <c r="BZ122" s="43">
        <v>180</v>
      </c>
      <c r="CA122" s="43"/>
      <c r="CB122" s="43"/>
      <c r="CC122" s="43"/>
      <c r="CD122" s="43"/>
      <c r="CE122" s="43"/>
      <c r="CF122" s="43"/>
      <c r="CG122" s="53"/>
      <c r="CH122" s="52"/>
      <c r="CI122" s="43"/>
      <c r="CJ122" s="43"/>
      <c r="CK122" s="43"/>
      <c r="CL122" s="43"/>
      <c r="CM122" s="43"/>
      <c r="CN122" s="43"/>
      <c r="CO122" s="43"/>
      <c r="CP122" s="43"/>
      <c r="CQ122" s="43"/>
      <c r="CR122" s="43"/>
      <c r="CS122" s="43"/>
      <c r="CT122" s="43"/>
      <c r="CU122" s="43"/>
      <c r="CV122" s="43"/>
      <c r="CW122" s="43"/>
      <c r="CX122" s="43"/>
      <c r="CY122" s="43"/>
      <c r="CZ122" s="7"/>
      <c r="DA122" s="7"/>
      <c r="DB122" s="43">
        <v>5.88</v>
      </c>
      <c r="DC122" s="43"/>
      <c r="DD122" s="53"/>
      <c r="DE122" s="73">
        <f t="shared" si="19"/>
        <v>0</v>
      </c>
      <c r="DG122" s="52"/>
      <c r="DH122" s="43"/>
      <c r="DI122" s="50">
        <f t="shared" si="20"/>
        <v>5482.0033333333331</v>
      </c>
      <c r="DK122" s="52">
        <v>180</v>
      </c>
      <c r="DL122" s="43">
        <v>5.88</v>
      </c>
      <c r="DM122" s="50">
        <f t="shared" si="21"/>
        <v>3215.0499999999993</v>
      </c>
      <c r="DO122" s="52"/>
      <c r="DP122" s="43"/>
      <c r="DQ122" s="50">
        <f t="shared" si="22"/>
        <v>7005.4900000000016</v>
      </c>
      <c r="DT122" s="52"/>
      <c r="DU122" s="43"/>
      <c r="DV122" s="50">
        <f t="shared" si="23"/>
        <v>518.19000000000005</v>
      </c>
      <c r="DX122" s="52"/>
      <c r="DY122" s="43"/>
      <c r="DZ122" s="53">
        <f t="shared" si="24"/>
        <v>367.43999999999994</v>
      </c>
      <c r="EB122" s="52"/>
      <c r="EC122" s="43"/>
      <c r="ED122" s="53">
        <f t="shared" si="25"/>
        <v>0</v>
      </c>
      <c r="EF122" s="52"/>
      <c r="EG122" s="43"/>
      <c r="EH122" s="53">
        <f t="shared" si="26"/>
        <v>1048.04</v>
      </c>
      <c r="EJ122" s="65"/>
      <c r="EK122" s="7"/>
      <c r="EL122" s="53">
        <f t="shared" si="27"/>
        <v>25.299999999999997</v>
      </c>
      <c r="EN122" s="51">
        <f t="shared" si="28"/>
        <v>-5786.2733333333217</v>
      </c>
      <c r="EP122" s="60">
        <f t="shared" si="29"/>
        <v>0</v>
      </c>
      <c r="EQ122" s="61">
        <f t="shared" si="30"/>
        <v>0</v>
      </c>
      <c r="ER122" s="15">
        <f t="shared" si="31"/>
        <v>0</v>
      </c>
      <c r="ES122" s="62">
        <f t="shared" ref="ES122:ES153" si="34">+X122+Y122+Z122+AA122-BZ122-CA122-CB122-CC122</f>
        <v>0</v>
      </c>
      <c r="EU122" s="6">
        <v>112</v>
      </c>
    </row>
    <row r="123" spans="1:151" x14ac:dyDescent="0.45">
      <c r="A123" s="67">
        <v>45553</v>
      </c>
      <c r="B123" s="25" t="s">
        <v>819</v>
      </c>
      <c r="C123" s="10" t="s">
        <v>647</v>
      </c>
      <c r="D123" s="7"/>
      <c r="E123" s="43">
        <v>500</v>
      </c>
      <c r="F123" s="43"/>
      <c r="G123" s="16">
        <f t="shared" si="18"/>
        <v>12375.240000000013</v>
      </c>
      <c r="H123" s="64" t="s">
        <v>625</v>
      </c>
      <c r="I123" s="52"/>
      <c r="J123" s="43"/>
      <c r="K123" s="43"/>
      <c r="L123" s="43">
        <v>500</v>
      </c>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53"/>
      <c r="AS123" s="52"/>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53"/>
      <c r="BX123" s="30">
        <f t="shared" si="17"/>
        <v>0</v>
      </c>
      <c r="BY123" s="52"/>
      <c r="BZ123" s="43"/>
      <c r="CA123" s="43"/>
      <c r="CB123" s="43"/>
      <c r="CC123" s="43"/>
      <c r="CD123" s="43"/>
      <c r="CE123" s="43">
        <v>500</v>
      </c>
      <c r="CF123" s="43"/>
      <c r="CG123" s="53"/>
      <c r="CH123" s="52"/>
      <c r="CI123" s="43"/>
      <c r="CJ123" s="43"/>
      <c r="CK123" s="43"/>
      <c r="CL123" s="43"/>
      <c r="CM123" s="43"/>
      <c r="CN123" s="43"/>
      <c r="CO123" s="43"/>
      <c r="CP123" s="43"/>
      <c r="CQ123" s="43"/>
      <c r="CR123" s="43"/>
      <c r="CS123" s="43"/>
      <c r="CT123" s="43"/>
      <c r="CU123" s="43"/>
      <c r="CV123" s="43"/>
      <c r="CW123" s="43"/>
      <c r="CX123" s="43"/>
      <c r="CY123" s="43"/>
      <c r="CZ123" s="7"/>
      <c r="DA123" s="7"/>
      <c r="DB123" s="43"/>
      <c r="DC123" s="43"/>
      <c r="DD123" s="53"/>
      <c r="DE123" s="73">
        <f t="shared" si="19"/>
        <v>0</v>
      </c>
      <c r="DG123" s="52"/>
      <c r="DH123" s="43"/>
      <c r="DI123" s="50">
        <f t="shared" si="20"/>
        <v>5482.0033333333331</v>
      </c>
      <c r="DK123" s="52"/>
      <c r="DL123" s="43"/>
      <c r="DM123" s="50">
        <f t="shared" si="21"/>
        <v>3215.0499999999993</v>
      </c>
      <c r="DO123" s="52"/>
      <c r="DP123" s="43"/>
      <c r="DQ123" s="50">
        <f t="shared" si="22"/>
        <v>7005.4900000000016</v>
      </c>
      <c r="DT123" s="52"/>
      <c r="DU123" s="43"/>
      <c r="DV123" s="50">
        <f t="shared" si="23"/>
        <v>518.19000000000005</v>
      </c>
      <c r="DX123" s="52"/>
      <c r="DY123" s="43"/>
      <c r="DZ123" s="53">
        <f t="shared" si="24"/>
        <v>367.43999999999994</v>
      </c>
      <c r="EB123" s="52">
        <v>500</v>
      </c>
      <c r="EC123" s="43"/>
      <c r="ED123" s="53">
        <f t="shared" si="25"/>
        <v>500</v>
      </c>
      <c r="EF123" s="52"/>
      <c r="EG123" s="43"/>
      <c r="EH123" s="53">
        <f t="shared" si="26"/>
        <v>1048.04</v>
      </c>
      <c r="EJ123" s="65"/>
      <c r="EK123" s="7"/>
      <c r="EL123" s="53">
        <f t="shared" si="27"/>
        <v>25.299999999999997</v>
      </c>
      <c r="EN123" s="51">
        <f t="shared" si="28"/>
        <v>-5786.2733333333217</v>
      </c>
      <c r="EP123" s="60">
        <f t="shared" si="29"/>
        <v>0</v>
      </c>
      <c r="EQ123" s="61">
        <f t="shared" si="30"/>
        <v>0</v>
      </c>
      <c r="ER123" s="15">
        <f t="shared" si="31"/>
        <v>0</v>
      </c>
      <c r="ES123" s="163">
        <f t="shared" si="34"/>
        <v>0</v>
      </c>
      <c r="ET123" t="s">
        <v>1004</v>
      </c>
      <c r="EU123">
        <v>113</v>
      </c>
    </row>
    <row r="124" spans="1:151" x14ac:dyDescent="0.45">
      <c r="A124" s="67">
        <v>45553</v>
      </c>
      <c r="B124" s="25" t="s">
        <v>745</v>
      </c>
      <c r="C124" s="10" t="s">
        <v>702</v>
      </c>
      <c r="D124" s="7"/>
      <c r="E124" s="43">
        <v>45</v>
      </c>
      <c r="F124" s="43">
        <f>0.59+0.88</f>
        <v>1.47</v>
      </c>
      <c r="G124" s="16">
        <f t="shared" si="18"/>
        <v>12418.770000000013</v>
      </c>
      <c r="H124" s="64" t="s">
        <v>625</v>
      </c>
      <c r="I124" s="52"/>
      <c r="J124" s="43"/>
      <c r="K124" s="43"/>
      <c r="L124" s="43"/>
      <c r="M124" s="43"/>
      <c r="N124" s="43"/>
      <c r="O124" s="43"/>
      <c r="P124" s="43"/>
      <c r="Q124" s="43"/>
      <c r="R124" s="43"/>
      <c r="S124" s="43"/>
      <c r="T124" s="43"/>
      <c r="U124" s="43"/>
      <c r="V124" s="43"/>
      <c r="W124" s="43"/>
      <c r="X124" s="43"/>
      <c r="Y124" s="43">
        <v>45</v>
      </c>
      <c r="AB124" s="43"/>
      <c r="AC124" s="43"/>
      <c r="AD124" s="43"/>
      <c r="AE124" s="43"/>
      <c r="AF124" s="43"/>
      <c r="AG124" s="43"/>
      <c r="AH124" s="43"/>
      <c r="AI124" s="43"/>
      <c r="AJ124" s="43"/>
      <c r="AK124" s="43"/>
      <c r="AL124" s="43"/>
      <c r="AM124" s="43"/>
      <c r="AN124" s="43"/>
      <c r="AO124" s="43"/>
      <c r="AP124" s="43"/>
      <c r="AQ124" s="43"/>
      <c r="AR124" s="53"/>
      <c r="AS124" s="52"/>
      <c r="AT124" s="43"/>
      <c r="AU124" s="43"/>
      <c r="AV124" s="43"/>
      <c r="AW124" s="43"/>
      <c r="AX124" s="43"/>
      <c r="AY124" s="43">
        <v>1.47</v>
      </c>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53"/>
      <c r="BX124" s="30">
        <f t="shared" si="17"/>
        <v>0</v>
      </c>
      <c r="BY124" s="52"/>
      <c r="BZ124" s="43">
        <v>45</v>
      </c>
      <c r="CA124" s="43"/>
      <c r="CB124" s="43"/>
      <c r="CC124" s="43"/>
      <c r="CD124" s="43"/>
      <c r="CE124" s="43"/>
      <c r="CF124" s="43"/>
      <c r="CG124" s="53"/>
      <c r="CH124" s="52"/>
      <c r="CI124" s="43"/>
      <c r="CJ124" s="43"/>
      <c r="CK124" s="43"/>
      <c r="CL124" s="43"/>
      <c r="CM124" s="43"/>
      <c r="CN124" s="43"/>
      <c r="CO124" s="43"/>
      <c r="CP124" s="43"/>
      <c r="CQ124" s="43"/>
      <c r="CR124" s="43"/>
      <c r="CS124" s="43"/>
      <c r="CT124" s="43"/>
      <c r="CU124" s="43"/>
      <c r="CV124" s="43"/>
      <c r="CW124" s="43"/>
      <c r="CX124" s="43"/>
      <c r="CY124" s="43"/>
      <c r="CZ124" s="7"/>
      <c r="DA124" s="7"/>
      <c r="DB124" s="43">
        <v>1.47</v>
      </c>
      <c r="DC124" s="43"/>
      <c r="DD124" s="53"/>
      <c r="DE124" s="73">
        <f t="shared" si="19"/>
        <v>0</v>
      </c>
      <c r="DG124" s="52"/>
      <c r="DH124" s="43"/>
      <c r="DI124" s="50">
        <f t="shared" si="20"/>
        <v>5482.0033333333331</v>
      </c>
      <c r="DK124" s="52">
        <v>45</v>
      </c>
      <c r="DL124" s="43">
        <v>1.47</v>
      </c>
      <c r="DM124" s="50">
        <f t="shared" si="21"/>
        <v>3258.5799999999995</v>
      </c>
      <c r="DO124" s="52"/>
      <c r="DP124" s="43"/>
      <c r="DQ124" s="50">
        <f t="shared" si="22"/>
        <v>7005.4900000000016</v>
      </c>
      <c r="DT124" s="52"/>
      <c r="DU124" s="43"/>
      <c r="DV124" s="50">
        <f t="shared" si="23"/>
        <v>518.19000000000005</v>
      </c>
      <c r="DX124" s="52"/>
      <c r="DY124" s="43"/>
      <c r="DZ124" s="53">
        <f t="shared" si="24"/>
        <v>367.43999999999994</v>
      </c>
      <c r="EB124" s="52"/>
      <c r="EC124" s="43"/>
      <c r="ED124" s="53">
        <f t="shared" si="25"/>
        <v>500</v>
      </c>
      <c r="EF124" s="52"/>
      <c r="EG124" s="43"/>
      <c r="EH124" s="53">
        <f t="shared" si="26"/>
        <v>1048.04</v>
      </c>
      <c r="EJ124" s="65"/>
      <c r="EK124" s="7"/>
      <c r="EL124" s="53">
        <f t="shared" si="27"/>
        <v>25.299999999999997</v>
      </c>
      <c r="EN124" s="51">
        <f t="shared" si="28"/>
        <v>-5786.2733333333217</v>
      </c>
      <c r="EP124" s="60">
        <f t="shared" si="29"/>
        <v>0</v>
      </c>
      <c r="EQ124" s="61">
        <f t="shared" si="30"/>
        <v>0</v>
      </c>
      <c r="ER124" s="15">
        <f t="shared" si="31"/>
        <v>0</v>
      </c>
      <c r="ES124" s="62">
        <f t="shared" si="34"/>
        <v>0</v>
      </c>
      <c r="EU124" s="6">
        <v>114</v>
      </c>
    </row>
    <row r="125" spans="1:151" x14ac:dyDescent="0.45">
      <c r="A125" s="67">
        <v>45554</v>
      </c>
      <c r="B125" s="25" t="s">
        <v>745</v>
      </c>
      <c r="C125" s="10" t="s">
        <v>703</v>
      </c>
      <c r="D125" s="7"/>
      <c r="E125" s="43">
        <v>135</v>
      </c>
      <c r="F125" s="43">
        <f>1.77+2.64</f>
        <v>4.41</v>
      </c>
      <c r="G125" s="16">
        <f t="shared" si="18"/>
        <v>12549.360000000013</v>
      </c>
      <c r="H125" s="64" t="s">
        <v>625</v>
      </c>
      <c r="I125" s="52"/>
      <c r="J125" s="43"/>
      <c r="K125" s="43"/>
      <c r="L125" s="43"/>
      <c r="M125" s="43"/>
      <c r="N125" s="43"/>
      <c r="O125" s="43"/>
      <c r="P125" s="43"/>
      <c r="Q125" s="43"/>
      <c r="R125" s="43"/>
      <c r="S125" s="43"/>
      <c r="T125" s="43"/>
      <c r="U125" s="43"/>
      <c r="V125" s="43"/>
      <c r="W125" s="43"/>
      <c r="X125" s="43"/>
      <c r="Y125" s="43">
        <v>135</v>
      </c>
      <c r="AB125" s="43"/>
      <c r="AC125" s="43"/>
      <c r="AD125" s="43"/>
      <c r="AE125" s="43"/>
      <c r="AF125" s="43"/>
      <c r="AG125" s="43"/>
      <c r="AH125" s="43"/>
      <c r="AI125" s="43"/>
      <c r="AJ125" s="43"/>
      <c r="AK125" s="43"/>
      <c r="AL125" s="43"/>
      <c r="AM125" s="43"/>
      <c r="AN125" s="43"/>
      <c r="AO125" s="43"/>
      <c r="AP125" s="43"/>
      <c r="AQ125" s="43"/>
      <c r="AR125" s="53"/>
      <c r="AS125" s="52"/>
      <c r="AT125" s="43"/>
      <c r="AU125" s="43"/>
      <c r="AV125" s="43"/>
      <c r="AW125" s="43"/>
      <c r="AX125" s="43"/>
      <c r="AY125" s="43">
        <v>4.41</v>
      </c>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53"/>
      <c r="BX125" s="30">
        <f t="shared" si="17"/>
        <v>0</v>
      </c>
      <c r="BY125" s="52"/>
      <c r="BZ125" s="43">
        <v>135</v>
      </c>
      <c r="CA125" s="43"/>
      <c r="CB125" s="43"/>
      <c r="CC125" s="43"/>
      <c r="CD125" s="43"/>
      <c r="CE125" s="43"/>
      <c r="CF125" s="43"/>
      <c r="CG125" s="53"/>
      <c r="CH125" s="52"/>
      <c r="CI125" s="43"/>
      <c r="CJ125" s="43"/>
      <c r="CK125" s="43"/>
      <c r="CL125" s="43"/>
      <c r="CM125" s="43"/>
      <c r="CN125" s="43"/>
      <c r="CO125" s="43"/>
      <c r="CP125" s="43"/>
      <c r="CQ125" s="43"/>
      <c r="CR125" s="43"/>
      <c r="CS125" s="43"/>
      <c r="CT125" s="43"/>
      <c r="CU125" s="43"/>
      <c r="CV125" s="43"/>
      <c r="CW125" s="43"/>
      <c r="CX125" s="43"/>
      <c r="CY125" s="43"/>
      <c r="CZ125" s="7"/>
      <c r="DA125" s="7"/>
      <c r="DB125" s="43">
        <v>4.41</v>
      </c>
      <c r="DC125" s="43"/>
      <c r="DD125" s="53"/>
      <c r="DE125" s="73">
        <f t="shared" si="19"/>
        <v>0</v>
      </c>
      <c r="DG125" s="52"/>
      <c r="DH125" s="43"/>
      <c r="DI125" s="50">
        <f t="shared" si="20"/>
        <v>5482.0033333333331</v>
      </c>
      <c r="DK125" s="52">
        <v>135</v>
      </c>
      <c r="DL125" s="43">
        <v>4.41</v>
      </c>
      <c r="DM125" s="50">
        <f t="shared" si="21"/>
        <v>3389.1699999999996</v>
      </c>
      <c r="DO125" s="52"/>
      <c r="DP125" s="43"/>
      <c r="DQ125" s="50">
        <f t="shared" si="22"/>
        <v>7005.4900000000016</v>
      </c>
      <c r="DT125" s="52"/>
      <c r="DU125" s="43"/>
      <c r="DV125" s="50">
        <f t="shared" si="23"/>
        <v>518.19000000000005</v>
      </c>
      <c r="DX125" s="52"/>
      <c r="DY125" s="43"/>
      <c r="DZ125" s="53">
        <f t="shared" si="24"/>
        <v>367.43999999999994</v>
      </c>
      <c r="EB125" s="52"/>
      <c r="EC125" s="43"/>
      <c r="ED125" s="53">
        <f t="shared" si="25"/>
        <v>500</v>
      </c>
      <c r="EF125" s="52"/>
      <c r="EG125" s="43"/>
      <c r="EH125" s="53">
        <f t="shared" si="26"/>
        <v>1048.04</v>
      </c>
      <c r="EJ125" s="65"/>
      <c r="EK125" s="7"/>
      <c r="EL125" s="53">
        <f t="shared" si="27"/>
        <v>25.299999999999997</v>
      </c>
      <c r="EN125" s="51">
        <f t="shared" si="28"/>
        <v>-5786.2733333333217</v>
      </c>
      <c r="EP125" s="60">
        <f t="shared" si="29"/>
        <v>0</v>
      </c>
      <c r="EQ125" s="61">
        <f t="shared" si="30"/>
        <v>0</v>
      </c>
      <c r="ER125" s="15">
        <f t="shared" si="31"/>
        <v>0</v>
      </c>
      <c r="ES125" s="163">
        <f t="shared" si="34"/>
        <v>0</v>
      </c>
      <c r="EU125">
        <v>115</v>
      </c>
    </row>
    <row r="126" spans="1:151" x14ac:dyDescent="0.45">
      <c r="A126" s="67">
        <v>45555</v>
      </c>
      <c r="B126" s="25" t="s">
        <v>745</v>
      </c>
      <c r="C126" s="10" t="s">
        <v>704</v>
      </c>
      <c r="D126" s="7"/>
      <c r="E126" s="43">
        <v>135</v>
      </c>
      <c r="F126" s="43">
        <v>4.41</v>
      </c>
      <c r="G126" s="16">
        <f t="shared" si="18"/>
        <v>12679.950000000013</v>
      </c>
      <c r="H126" s="64" t="s">
        <v>625</v>
      </c>
      <c r="I126" s="52"/>
      <c r="J126" s="43"/>
      <c r="K126" s="43"/>
      <c r="L126" s="43"/>
      <c r="M126" s="43"/>
      <c r="N126" s="43"/>
      <c r="O126" s="43"/>
      <c r="P126" s="43"/>
      <c r="Q126" s="43"/>
      <c r="R126" s="43"/>
      <c r="S126" s="43"/>
      <c r="T126" s="43"/>
      <c r="U126" s="43"/>
      <c r="V126" s="43"/>
      <c r="W126" s="43"/>
      <c r="X126" s="43"/>
      <c r="Y126" s="43">
        <v>135</v>
      </c>
      <c r="AB126" s="43"/>
      <c r="AC126" s="43"/>
      <c r="AD126" s="43"/>
      <c r="AE126" s="43"/>
      <c r="AF126" s="43"/>
      <c r="AG126" s="43"/>
      <c r="AH126" s="43"/>
      <c r="AI126" s="43"/>
      <c r="AJ126" s="43"/>
      <c r="AK126" s="43"/>
      <c r="AL126" s="43"/>
      <c r="AM126" s="43"/>
      <c r="AN126" s="43"/>
      <c r="AO126" s="43"/>
      <c r="AP126" s="43"/>
      <c r="AQ126" s="43"/>
      <c r="AR126" s="53"/>
      <c r="AS126" s="52"/>
      <c r="AT126" s="43"/>
      <c r="AU126" s="43"/>
      <c r="AV126" s="43"/>
      <c r="AW126" s="43"/>
      <c r="AX126" s="43"/>
      <c r="AY126" s="43">
        <v>4.41</v>
      </c>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53"/>
      <c r="BX126" s="30">
        <f t="shared" si="17"/>
        <v>0</v>
      </c>
      <c r="BY126" s="52"/>
      <c r="BZ126" s="43">
        <v>135</v>
      </c>
      <c r="CA126" s="43"/>
      <c r="CB126" s="43"/>
      <c r="CC126" s="43"/>
      <c r="CD126" s="43"/>
      <c r="CE126" s="43"/>
      <c r="CF126" s="43"/>
      <c r="CG126" s="53"/>
      <c r="CH126" s="52"/>
      <c r="CI126" s="43"/>
      <c r="CJ126" s="43"/>
      <c r="CK126" s="43"/>
      <c r="CL126" s="43"/>
      <c r="CM126" s="43"/>
      <c r="CN126" s="43"/>
      <c r="CO126" s="43"/>
      <c r="CP126" s="43"/>
      <c r="CQ126" s="43"/>
      <c r="CR126" s="43"/>
      <c r="CS126" s="43"/>
      <c r="CT126" s="43"/>
      <c r="CU126" s="43"/>
      <c r="CV126" s="43"/>
      <c r="CW126" s="43"/>
      <c r="CX126" s="43"/>
      <c r="CY126" s="43"/>
      <c r="CZ126" s="7"/>
      <c r="DA126" s="7"/>
      <c r="DB126" s="43">
        <v>4.41</v>
      </c>
      <c r="DC126" s="43"/>
      <c r="DD126" s="53"/>
      <c r="DE126" s="73">
        <f t="shared" si="19"/>
        <v>0</v>
      </c>
      <c r="DG126" s="52"/>
      <c r="DH126" s="43"/>
      <c r="DI126" s="50">
        <f t="shared" si="20"/>
        <v>5482.0033333333331</v>
      </c>
      <c r="DK126" s="52">
        <v>135</v>
      </c>
      <c r="DL126" s="43">
        <v>4.41</v>
      </c>
      <c r="DM126" s="50">
        <f t="shared" si="21"/>
        <v>3519.7599999999998</v>
      </c>
      <c r="DO126" s="52"/>
      <c r="DP126" s="43"/>
      <c r="DQ126" s="50">
        <f t="shared" si="22"/>
        <v>7005.4900000000016</v>
      </c>
      <c r="DT126" s="52"/>
      <c r="DU126" s="43"/>
      <c r="DV126" s="50">
        <f t="shared" si="23"/>
        <v>518.19000000000005</v>
      </c>
      <c r="DX126" s="52"/>
      <c r="DY126" s="43"/>
      <c r="DZ126" s="53">
        <f t="shared" si="24"/>
        <v>367.43999999999994</v>
      </c>
      <c r="EB126" s="52"/>
      <c r="EC126" s="43"/>
      <c r="ED126" s="53">
        <f t="shared" si="25"/>
        <v>500</v>
      </c>
      <c r="EF126" s="52"/>
      <c r="EG126" s="43"/>
      <c r="EH126" s="53">
        <f t="shared" si="26"/>
        <v>1048.04</v>
      </c>
      <c r="EJ126" s="65"/>
      <c r="EK126" s="7"/>
      <c r="EL126" s="53">
        <f t="shared" si="27"/>
        <v>25.299999999999997</v>
      </c>
      <c r="EN126" s="51">
        <f t="shared" si="28"/>
        <v>-5786.2733333333217</v>
      </c>
      <c r="EP126" s="60">
        <f t="shared" si="29"/>
        <v>0</v>
      </c>
      <c r="EQ126" s="61">
        <f t="shared" si="30"/>
        <v>0</v>
      </c>
      <c r="ER126" s="15">
        <f t="shared" si="31"/>
        <v>0</v>
      </c>
      <c r="ES126" s="62">
        <f t="shared" si="34"/>
        <v>0</v>
      </c>
      <c r="EU126" s="6">
        <v>116</v>
      </c>
    </row>
    <row r="127" spans="1:151" x14ac:dyDescent="0.45">
      <c r="A127" s="67">
        <v>45558</v>
      </c>
      <c r="B127" s="25" t="s">
        <v>747</v>
      </c>
      <c r="C127" s="10" t="s">
        <v>830</v>
      </c>
      <c r="D127" s="7"/>
      <c r="E127" s="43">
        <v>990</v>
      </c>
      <c r="F127" s="43">
        <f>12.98+19.36</f>
        <v>32.340000000000003</v>
      </c>
      <c r="G127" s="16">
        <f t="shared" si="18"/>
        <v>13637.610000000013</v>
      </c>
      <c r="H127" s="64" t="s">
        <v>625</v>
      </c>
      <c r="I127" s="52"/>
      <c r="J127" s="43"/>
      <c r="K127" s="43"/>
      <c r="L127" s="43"/>
      <c r="M127" s="43"/>
      <c r="N127" s="43"/>
      <c r="O127" s="43"/>
      <c r="P127" s="43"/>
      <c r="Q127" s="43"/>
      <c r="R127" s="43"/>
      <c r="S127" s="43"/>
      <c r="T127" s="43"/>
      <c r="U127" s="43"/>
      <c r="V127" s="43"/>
      <c r="W127" s="43"/>
      <c r="X127" s="43">
        <v>990</v>
      </c>
      <c r="Y127" s="43"/>
      <c r="Z127" s="43"/>
      <c r="AA127" s="43"/>
      <c r="AB127" s="43"/>
      <c r="AC127" s="43"/>
      <c r="AD127" s="43"/>
      <c r="AE127" s="43"/>
      <c r="AF127" s="43"/>
      <c r="AG127" s="43"/>
      <c r="AH127" s="43"/>
      <c r="AI127" s="43"/>
      <c r="AJ127" s="43"/>
      <c r="AK127" s="43"/>
      <c r="AL127" s="43"/>
      <c r="AM127" s="43"/>
      <c r="AN127" s="43"/>
      <c r="AO127" s="43"/>
      <c r="AP127" s="43"/>
      <c r="AQ127" s="43"/>
      <c r="AR127" s="53"/>
      <c r="AS127" s="52"/>
      <c r="AT127" s="43"/>
      <c r="AU127" s="43"/>
      <c r="AV127" s="43"/>
      <c r="AW127" s="43"/>
      <c r="AX127" s="43">
        <v>32.340000000000003</v>
      </c>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53"/>
      <c r="BX127" s="30">
        <f t="shared" si="17"/>
        <v>0</v>
      </c>
      <c r="BY127" s="52"/>
      <c r="BZ127" s="43">
        <v>990</v>
      </c>
      <c r="CA127" s="43"/>
      <c r="CB127" s="43"/>
      <c r="CC127" s="43"/>
      <c r="CD127" s="43"/>
      <c r="CE127" s="43"/>
      <c r="CF127" s="43"/>
      <c r="CG127" s="53"/>
      <c r="CH127" s="52"/>
      <c r="CI127" s="43"/>
      <c r="CJ127" s="43"/>
      <c r="CK127" s="43"/>
      <c r="CL127" s="43"/>
      <c r="CM127" s="43"/>
      <c r="CN127" s="43"/>
      <c r="CO127" s="43"/>
      <c r="CP127" s="43"/>
      <c r="CQ127" s="43"/>
      <c r="CR127" s="43"/>
      <c r="CS127" s="43"/>
      <c r="CT127" s="43"/>
      <c r="CU127" s="43"/>
      <c r="CV127" s="43"/>
      <c r="CW127" s="43"/>
      <c r="CX127" s="43"/>
      <c r="CY127" s="43"/>
      <c r="CZ127" s="7"/>
      <c r="DA127" s="7"/>
      <c r="DB127" s="43">
        <v>32.340000000000003</v>
      </c>
      <c r="DC127" s="43"/>
      <c r="DD127" s="53"/>
      <c r="DE127" s="73">
        <f t="shared" si="19"/>
        <v>0</v>
      </c>
      <c r="DG127" s="52">
        <v>990</v>
      </c>
      <c r="DH127" s="43">
        <v>32.340000000000003</v>
      </c>
      <c r="DI127" s="50">
        <f t="shared" si="20"/>
        <v>6439.663333333333</v>
      </c>
      <c r="DK127" s="52"/>
      <c r="DL127" s="43"/>
      <c r="DM127" s="50">
        <f t="shared" si="21"/>
        <v>3519.7599999999998</v>
      </c>
      <c r="DO127" s="52"/>
      <c r="DP127" s="43"/>
      <c r="DQ127" s="50">
        <f t="shared" si="22"/>
        <v>7005.4900000000016</v>
      </c>
      <c r="DT127" s="52"/>
      <c r="DU127" s="43"/>
      <c r="DV127" s="50">
        <f t="shared" si="23"/>
        <v>518.19000000000005</v>
      </c>
      <c r="DX127" s="52"/>
      <c r="DY127" s="43"/>
      <c r="DZ127" s="53">
        <f t="shared" si="24"/>
        <v>367.43999999999994</v>
      </c>
      <c r="EB127" s="52"/>
      <c r="EC127" s="43"/>
      <c r="ED127" s="53">
        <f t="shared" si="25"/>
        <v>500</v>
      </c>
      <c r="EF127" s="52"/>
      <c r="EG127" s="43"/>
      <c r="EH127" s="53">
        <f t="shared" si="26"/>
        <v>1048.04</v>
      </c>
      <c r="EJ127" s="65"/>
      <c r="EK127" s="7"/>
      <c r="EL127" s="53">
        <f t="shared" si="27"/>
        <v>25.299999999999997</v>
      </c>
      <c r="EN127" s="51">
        <f t="shared" si="28"/>
        <v>-5786.2733333333217</v>
      </c>
      <c r="EP127" s="60">
        <f t="shared" si="29"/>
        <v>0</v>
      </c>
      <c r="EQ127" s="61">
        <f t="shared" si="30"/>
        <v>0</v>
      </c>
      <c r="ER127" s="15">
        <f t="shared" si="31"/>
        <v>0</v>
      </c>
      <c r="ES127" s="163">
        <f t="shared" si="34"/>
        <v>0</v>
      </c>
      <c r="ET127" t="s">
        <v>1004</v>
      </c>
      <c r="EU127">
        <v>117</v>
      </c>
    </row>
    <row r="128" spans="1:151" x14ac:dyDescent="0.45">
      <c r="A128" s="67">
        <v>45558</v>
      </c>
      <c r="B128" s="25" t="s">
        <v>746</v>
      </c>
      <c r="C128" s="10" t="s">
        <v>814</v>
      </c>
      <c r="D128" s="7"/>
      <c r="E128" s="43">
        <v>225</v>
      </c>
      <c r="F128" s="43">
        <f>2.95+4.4</f>
        <v>7.3500000000000005</v>
      </c>
      <c r="G128" s="16">
        <f t="shared" si="18"/>
        <v>13855.260000000013</v>
      </c>
      <c r="H128" s="64" t="s">
        <v>625</v>
      </c>
      <c r="I128" s="52"/>
      <c r="J128" s="43"/>
      <c r="K128" s="43"/>
      <c r="L128" s="43"/>
      <c r="M128" s="43"/>
      <c r="N128" s="43"/>
      <c r="O128" s="43"/>
      <c r="P128" s="43"/>
      <c r="Q128" s="43"/>
      <c r="R128" s="43"/>
      <c r="S128" s="43"/>
      <c r="T128" s="43"/>
      <c r="U128" s="43"/>
      <c r="V128" s="43"/>
      <c r="W128" s="43"/>
      <c r="X128" s="43"/>
      <c r="Y128" s="43"/>
      <c r="Z128" s="43">
        <v>225</v>
      </c>
      <c r="AA128" s="43"/>
      <c r="AB128" s="43"/>
      <c r="AC128" s="43"/>
      <c r="AD128" s="43"/>
      <c r="AE128" s="43"/>
      <c r="AF128" s="43"/>
      <c r="AG128" s="43"/>
      <c r="AH128" s="43"/>
      <c r="AI128" s="43"/>
      <c r="AJ128" s="43"/>
      <c r="AK128" s="43"/>
      <c r="AL128" s="43"/>
      <c r="AM128" s="43"/>
      <c r="AN128" s="43"/>
      <c r="AO128" s="43"/>
      <c r="AP128" s="43"/>
      <c r="AQ128" s="43"/>
      <c r="AR128" s="53"/>
      <c r="AS128" s="52"/>
      <c r="AT128" s="43"/>
      <c r="AU128" s="43"/>
      <c r="AV128" s="43"/>
      <c r="AW128" s="43"/>
      <c r="AX128" s="43"/>
      <c r="AY128" s="43"/>
      <c r="AZ128" s="43">
        <v>7.35</v>
      </c>
      <c r="BA128" s="43"/>
      <c r="BB128" s="43"/>
      <c r="BC128" s="43"/>
      <c r="BD128" s="43"/>
      <c r="BE128" s="43"/>
      <c r="BF128" s="43"/>
      <c r="BG128" s="43"/>
      <c r="BH128" s="43"/>
      <c r="BI128" s="43"/>
      <c r="BJ128" s="43"/>
      <c r="BK128" s="43"/>
      <c r="BL128" s="43"/>
      <c r="BM128" s="43"/>
      <c r="BN128" s="43"/>
      <c r="BO128" s="43"/>
      <c r="BP128" s="43"/>
      <c r="BQ128" s="43"/>
      <c r="BR128" s="43"/>
      <c r="BS128" s="43"/>
      <c r="BT128" s="43"/>
      <c r="BU128" s="43"/>
      <c r="BV128" s="43"/>
      <c r="BW128" s="53"/>
      <c r="BX128" s="30">
        <f t="shared" si="17"/>
        <v>0</v>
      </c>
      <c r="BY128" s="52"/>
      <c r="BZ128" s="43">
        <v>225</v>
      </c>
      <c r="CA128" s="43"/>
      <c r="CB128" s="43"/>
      <c r="CC128" s="43"/>
      <c r="CD128" s="43"/>
      <c r="CE128" s="43"/>
      <c r="CF128" s="43"/>
      <c r="CG128" s="53"/>
      <c r="CH128" s="52"/>
      <c r="CI128" s="43"/>
      <c r="CJ128" s="43"/>
      <c r="CK128" s="43"/>
      <c r="CL128" s="43"/>
      <c r="CM128" s="43"/>
      <c r="CN128" s="43"/>
      <c r="CO128" s="43"/>
      <c r="CP128" s="43"/>
      <c r="CQ128" s="43"/>
      <c r="CR128" s="43"/>
      <c r="CS128" s="43"/>
      <c r="CT128" s="43"/>
      <c r="CU128" s="43"/>
      <c r="CV128" s="43"/>
      <c r="CW128" s="43"/>
      <c r="CX128" s="43"/>
      <c r="CY128" s="43"/>
      <c r="CZ128" s="7"/>
      <c r="DA128" s="7"/>
      <c r="DB128" s="43">
        <v>7.35</v>
      </c>
      <c r="DC128" s="43"/>
      <c r="DD128" s="53"/>
      <c r="DE128" s="73">
        <f t="shared" si="19"/>
        <v>0</v>
      </c>
      <c r="DG128" s="52"/>
      <c r="DH128" s="43"/>
      <c r="DI128" s="53">
        <f t="shared" si="20"/>
        <v>6439.663333333333</v>
      </c>
      <c r="DK128" s="52"/>
      <c r="DL128" s="43"/>
      <c r="DM128" s="53">
        <f t="shared" si="21"/>
        <v>3519.7599999999998</v>
      </c>
      <c r="DO128" s="52">
        <v>225</v>
      </c>
      <c r="DP128" s="43">
        <v>7.35</v>
      </c>
      <c r="DQ128" s="53">
        <f t="shared" si="22"/>
        <v>7223.1400000000012</v>
      </c>
      <c r="DT128" s="52"/>
      <c r="DU128" s="43"/>
      <c r="DV128" s="53">
        <f t="shared" si="23"/>
        <v>518.19000000000005</v>
      </c>
      <c r="DX128" s="52"/>
      <c r="DY128" s="43"/>
      <c r="DZ128" s="53">
        <f t="shared" si="24"/>
        <v>367.43999999999994</v>
      </c>
      <c r="EB128" s="52"/>
      <c r="EC128" s="43"/>
      <c r="ED128" s="53">
        <f t="shared" si="25"/>
        <v>500</v>
      </c>
      <c r="EF128" s="52"/>
      <c r="EG128" s="43"/>
      <c r="EH128" s="53">
        <f t="shared" si="26"/>
        <v>1048.04</v>
      </c>
      <c r="EJ128" s="65"/>
      <c r="EK128" s="7"/>
      <c r="EL128" s="53">
        <f t="shared" si="27"/>
        <v>25.299999999999997</v>
      </c>
      <c r="EN128" s="51">
        <f t="shared" si="28"/>
        <v>-5786.2733333333217</v>
      </c>
      <c r="EP128" s="162">
        <f t="shared" si="29"/>
        <v>0</v>
      </c>
      <c r="EQ128" s="61">
        <f t="shared" si="30"/>
        <v>0</v>
      </c>
      <c r="ER128" s="15">
        <f t="shared" si="31"/>
        <v>0</v>
      </c>
      <c r="ES128" s="163">
        <f t="shared" si="34"/>
        <v>0</v>
      </c>
      <c r="EU128" s="6">
        <v>118</v>
      </c>
    </row>
    <row r="129" spans="1:151" x14ac:dyDescent="0.45">
      <c r="A129" s="67">
        <v>45558</v>
      </c>
      <c r="B129" s="25" t="s">
        <v>745</v>
      </c>
      <c r="C129" s="10" t="s">
        <v>705</v>
      </c>
      <c r="D129" s="7"/>
      <c r="E129" s="43">
        <v>90</v>
      </c>
      <c r="F129" s="43">
        <f>1.18+1.76</f>
        <v>2.94</v>
      </c>
      <c r="G129" s="16">
        <f t="shared" si="18"/>
        <v>13942.320000000012</v>
      </c>
      <c r="H129" s="64" t="s">
        <v>625</v>
      </c>
      <c r="I129" s="52"/>
      <c r="J129" s="43"/>
      <c r="K129" s="43"/>
      <c r="L129" s="43"/>
      <c r="M129" s="43"/>
      <c r="N129" s="43"/>
      <c r="O129" s="43"/>
      <c r="P129" s="43"/>
      <c r="Q129" s="43"/>
      <c r="R129" s="43"/>
      <c r="S129" s="43"/>
      <c r="T129" s="43"/>
      <c r="U129" s="43"/>
      <c r="V129" s="43"/>
      <c r="W129" s="43"/>
      <c r="X129" s="43"/>
      <c r="Y129" s="43">
        <v>90</v>
      </c>
      <c r="Z129" s="43"/>
      <c r="AA129" s="43"/>
      <c r="AB129" s="43"/>
      <c r="AC129" s="43"/>
      <c r="AD129" s="43"/>
      <c r="AE129" s="43"/>
      <c r="AF129" s="43"/>
      <c r="AG129" s="43"/>
      <c r="AH129" s="43"/>
      <c r="AI129" s="43"/>
      <c r="AJ129" s="43"/>
      <c r="AK129" s="43"/>
      <c r="AL129" s="43"/>
      <c r="AM129" s="43"/>
      <c r="AN129" s="43"/>
      <c r="AO129" s="43"/>
      <c r="AP129" s="43"/>
      <c r="AQ129" s="43"/>
      <c r="AR129" s="53"/>
      <c r="AS129" s="52"/>
      <c r="AT129" s="43"/>
      <c r="AU129" s="43"/>
      <c r="AV129" s="43"/>
      <c r="AW129" s="43"/>
      <c r="AX129" s="43"/>
      <c r="AY129" s="43">
        <v>2.94</v>
      </c>
      <c r="AZ129" s="43"/>
      <c r="BA129" s="43"/>
      <c r="BB129" s="43"/>
      <c r="BC129" s="43"/>
      <c r="BD129" s="43"/>
      <c r="BE129" s="43"/>
      <c r="BF129" s="43"/>
      <c r="BG129" s="43"/>
      <c r="BH129" s="43"/>
      <c r="BI129" s="43"/>
      <c r="BJ129" s="43"/>
      <c r="BK129" s="43"/>
      <c r="BL129" s="43"/>
      <c r="BM129" s="43"/>
      <c r="BN129" s="43"/>
      <c r="BO129" s="43"/>
      <c r="BP129" s="43"/>
      <c r="BQ129" s="43"/>
      <c r="BR129" s="43"/>
      <c r="BS129" s="43"/>
      <c r="BT129" s="43"/>
      <c r="BU129" s="43"/>
      <c r="BV129" s="43"/>
      <c r="BW129" s="53"/>
      <c r="BX129" s="30">
        <f t="shared" si="17"/>
        <v>0</v>
      </c>
      <c r="BY129" s="52"/>
      <c r="BZ129" s="43">
        <v>90</v>
      </c>
      <c r="CA129" s="43"/>
      <c r="CB129" s="43"/>
      <c r="CC129" s="43"/>
      <c r="CD129" s="43"/>
      <c r="CE129" s="43"/>
      <c r="CF129" s="43"/>
      <c r="CG129" s="53"/>
      <c r="CH129" s="52"/>
      <c r="CI129" s="43"/>
      <c r="CJ129" s="43"/>
      <c r="CK129" s="43"/>
      <c r="CL129" s="43"/>
      <c r="CM129" s="43"/>
      <c r="CN129" s="43"/>
      <c r="CO129" s="43"/>
      <c r="CP129" s="43"/>
      <c r="CQ129" s="43"/>
      <c r="CR129" s="43"/>
      <c r="CS129" s="43"/>
      <c r="CT129" s="43"/>
      <c r="CU129" s="43"/>
      <c r="CV129" s="43"/>
      <c r="CW129" s="43"/>
      <c r="CX129" s="43"/>
      <c r="CY129" s="43"/>
      <c r="CZ129" s="7"/>
      <c r="DA129" s="7"/>
      <c r="DB129" s="43">
        <v>2.94</v>
      </c>
      <c r="DC129" s="43"/>
      <c r="DD129" s="53"/>
      <c r="DE129" s="73">
        <f t="shared" si="19"/>
        <v>0</v>
      </c>
      <c r="DG129" s="52"/>
      <c r="DH129" s="43"/>
      <c r="DI129" s="50">
        <f t="shared" si="20"/>
        <v>6439.663333333333</v>
      </c>
      <c r="DK129" s="52">
        <v>90</v>
      </c>
      <c r="DL129" s="43">
        <v>2.94</v>
      </c>
      <c r="DM129" s="50">
        <f t="shared" si="21"/>
        <v>3606.8199999999997</v>
      </c>
      <c r="DO129" s="52"/>
      <c r="DP129" s="43"/>
      <c r="DQ129" s="50">
        <f t="shared" si="22"/>
        <v>7223.1400000000012</v>
      </c>
      <c r="DT129" s="52"/>
      <c r="DU129" s="43"/>
      <c r="DV129" s="50">
        <f t="shared" si="23"/>
        <v>518.19000000000005</v>
      </c>
      <c r="DX129" s="52"/>
      <c r="DY129" s="43"/>
      <c r="DZ129" s="53">
        <f t="shared" si="24"/>
        <v>367.43999999999994</v>
      </c>
      <c r="EB129" s="52"/>
      <c r="EC129" s="43"/>
      <c r="ED129" s="53">
        <f t="shared" si="25"/>
        <v>500</v>
      </c>
      <c r="EF129" s="52"/>
      <c r="EG129" s="43"/>
      <c r="EH129" s="53">
        <f t="shared" si="26"/>
        <v>1048.04</v>
      </c>
      <c r="EJ129" s="65"/>
      <c r="EK129" s="7"/>
      <c r="EL129" s="53">
        <f t="shared" si="27"/>
        <v>25.299999999999997</v>
      </c>
      <c r="EN129" s="51">
        <f t="shared" si="28"/>
        <v>-5786.2733333333217</v>
      </c>
      <c r="EP129" s="60">
        <f t="shared" si="29"/>
        <v>0</v>
      </c>
      <c r="EQ129" s="61">
        <f t="shared" si="30"/>
        <v>0</v>
      </c>
      <c r="ER129" s="15">
        <f t="shared" si="31"/>
        <v>0</v>
      </c>
      <c r="ES129" s="163">
        <f t="shared" si="34"/>
        <v>0</v>
      </c>
      <c r="EU129">
        <v>119</v>
      </c>
    </row>
    <row r="130" spans="1:151" x14ac:dyDescent="0.45">
      <c r="A130" s="67">
        <v>45558</v>
      </c>
      <c r="B130" s="222" t="s">
        <v>742</v>
      </c>
      <c r="C130" s="10" t="s">
        <v>835</v>
      </c>
      <c r="D130" s="7"/>
      <c r="E130" s="43">
        <v>405</v>
      </c>
      <c r="F130" s="43">
        <f>5.31+7.92</f>
        <v>13.23</v>
      </c>
      <c r="G130" s="16">
        <f t="shared" si="18"/>
        <v>14334.090000000013</v>
      </c>
      <c r="H130" s="64" t="s">
        <v>625</v>
      </c>
      <c r="I130" s="52"/>
      <c r="J130" s="43"/>
      <c r="K130" s="43"/>
      <c r="L130" s="43"/>
      <c r="M130" s="43"/>
      <c r="N130" s="43"/>
      <c r="O130" s="43"/>
      <c r="P130" s="43"/>
      <c r="Q130" s="43"/>
      <c r="R130" s="43"/>
      <c r="S130" s="43"/>
      <c r="T130" s="43"/>
      <c r="U130" s="43"/>
      <c r="V130" s="43"/>
      <c r="W130" s="43"/>
      <c r="X130" s="43"/>
      <c r="Y130" s="43"/>
      <c r="Z130" s="43">
        <v>405</v>
      </c>
      <c r="AA130" s="43"/>
      <c r="AB130" s="43"/>
      <c r="AC130" s="43"/>
      <c r="AD130" s="43"/>
      <c r="AE130" s="43"/>
      <c r="AF130" s="43"/>
      <c r="AG130" s="43"/>
      <c r="AH130" s="43"/>
      <c r="AI130" s="43"/>
      <c r="AJ130" s="43"/>
      <c r="AK130" s="43"/>
      <c r="AL130" s="43"/>
      <c r="AM130" s="43"/>
      <c r="AN130" s="43"/>
      <c r="AO130" s="43"/>
      <c r="AP130" s="43"/>
      <c r="AQ130" s="43"/>
      <c r="AR130" s="53"/>
      <c r="AS130" s="52"/>
      <c r="AT130" s="43"/>
      <c r="AU130" s="43"/>
      <c r="AV130" s="43"/>
      <c r="AW130" s="43"/>
      <c r="AX130" s="43"/>
      <c r="AY130" s="43"/>
      <c r="AZ130" s="43">
        <v>13.23</v>
      </c>
      <c r="BA130" s="43"/>
      <c r="BB130" s="43"/>
      <c r="BC130" s="43"/>
      <c r="BD130" s="43"/>
      <c r="BE130" s="43"/>
      <c r="BF130" s="43"/>
      <c r="BG130" s="43"/>
      <c r="BH130" s="43"/>
      <c r="BI130" s="43"/>
      <c r="BJ130" s="43"/>
      <c r="BK130" s="43"/>
      <c r="BL130" s="43"/>
      <c r="BM130" s="43"/>
      <c r="BN130" s="43"/>
      <c r="BO130" s="43"/>
      <c r="BP130" s="43"/>
      <c r="BQ130" s="43"/>
      <c r="BR130" s="43"/>
      <c r="BS130" s="43"/>
      <c r="BT130" s="43"/>
      <c r="BU130" s="43"/>
      <c r="BV130" s="43"/>
      <c r="BW130" s="53"/>
      <c r="BX130" s="30">
        <f t="shared" si="17"/>
        <v>0</v>
      </c>
      <c r="BY130" s="52"/>
      <c r="BZ130" s="43">
        <v>405</v>
      </c>
      <c r="CA130" s="43"/>
      <c r="CB130" s="43"/>
      <c r="CC130" s="43"/>
      <c r="CD130" s="43"/>
      <c r="CE130" s="43"/>
      <c r="CF130" s="43"/>
      <c r="CG130" s="53"/>
      <c r="CH130" s="52"/>
      <c r="CI130" s="43"/>
      <c r="CJ130" s="43"/>
      <c r="CK130" s="43"/>
      <c r="CL130" s="43"/>
      <c r="CM130" s="43"/>
      <c r="CN130" s="43"/>
      <c r="CO130" s="43"/>
      <c r="CP130" s="43"/>
      <c r="CQ130" s="43"/>
      <c r="CR130" s="43"/>
      <c r="CS130" s="43"/>
      <c r="CT130" s="43"/>
      <c r="CU130" s="43"/>
      <c r="CV130" s="43"/>
      <c r="CW130" s="43"/>
      <c r="CX130" s="43"/>
      <c r="CY130" s="43"/>
      <c r="CZ130" s="7"/>
      <c r="DA130" s="7"/>
      <c r="DB130" s="43">
        <v>13.23</v>
      </c>
      <c r="DC130" s="43"/>
      <c r="DD130" s="53"/>
      <c r="DE130" s="73">
        <f t="shared" si="19"/>
        <v>0</v>
      </c>
      <c r="DG130" s="52"/>
      <c r="DH130" s="43"/>
      <c r="DI130" s="50">
        <f t="shared" si="20"/>
        <v>6439.663333333333</v>
      </c>
      <c r="DK130" s="52"/>
      <c r="DL130" s="43"/>
      <c r="DM130" s="50">
        <f t="shared" si="21"/>
        <v>3606.8199999999997</v>
      </c>
      <c r="DO130" s="52">
        <v>405</v>
      </c>
      <c r="DP130" s="43">
        <v>13.23</v>
      </c>
      <c r="DQ130" s="50">
        <f t="shared" si="22"/>
        <v>7614.9100000000017</v>
      </c>
      <c r="DT130" s="52"/>
      <c r="DU130" s="43"/>
      <c r="DV130" s="50">
        <f t="shared" si="23"/>
        <v>518.19000000000005</v>
      </c>
      <c r="DX130" s="52"/>
      <c r="DY130" s="43"/>
      <c r="DZ130" s="53">
        <f t="shared" si="24"/>
        <v>367.43999999999994</v>
      </c>
      <c r="EB130" s="52"/>
      <c r="EC130" s="43"/>
      <c r="ED130" s="53">
        <f t="shared" si="25"/>
        <v>500</v>
      </c>
      <c r="EF130" s="52"/>
      <c r="EG130" s="43"/>
      <c r="EH130" s="53">
        <f t="shared" si="26"/>
        <v>1048.04</v>
      </c>
      <c r="EJ130" s="65"/>
      <c r="EK130" s="7"/>
      <c r="EL130" s="53">
        <f t="shared" si="27"/>
        <v>25.299999999999997</v>
      </c>
      <c r="EN130" s="51">
        <f t="shared" si="28"/>
        <v>-5786.2733333333217</v>
      </c>
      <c r="EP130" s="60">
        <f t="shared" si="29"/>
        <v>0</v>
      </c>
      <c r="EQ130" s="61">
        <f t="shared" si="30"/>
        <v>0</v>
      </c>
      <c r="ER130" s="15">
        <f t="shared" si="31"/>
        <v>0</v>
      </c>
      <c r="ES130" s="62">
        <f t="shared" si="34"/>
        <v>0</v>
      </c>
      <c r="EU130" s="6">
        <v>120</v>
      </c>
    </row>
    <row r="131" spans="1:151" x14ac:dyDescent="0.45">
      <c r="A131" s="67">
        <v>45559</v>
      </c>
      <c r="B131" s="25" t="s">
        <v>747</v>
      </c>
      <c r="C131" s="10" t="s">
        <v>831</v>
      </c>
      <c r="D131" s="7"/>
      <c r="E131" s="43">
        <v>180</v>
      </c>
      <c r="F131" s="43">
        <f>2.36+3.52</f>
        <v>5.88</v>
      </c>
      <c r="G131" s="16">
        <f t="shared" si="18"/>
        <v>14508.210000000014</v>
      </c>
      <c r="H131" s="64" t="s">
        <v>625</v>
      </c>
      <c r="I131" s="52"/>
      <c r="J131" s="43"/>
      <c r="K131" s="43"/>
      <c r="L131" s="43"/>
      <c r="M131" s="43"/>
      <c r="N131" s="43"/>
      <c r="O131" s="43"/>
      <c r="P131" s="43"/>
      <c r="Q131" s="43"/>
      <c r="R131" s="43"/>
      <c r="S131" s="43"/>
      <c r="T131" s="43"/>
      <c r="U131" s="43"/>
      <c r="V131" s="43"/>
      <c r="W131" s="43"/>
      <c r="X131" s="43">
        <v>180</v>
      </c>
      <c r="Y131" s="43"/>
      <c r="Z131" s="43"/>
      <c r="AA131" s="43"/>
      <c r="AB131" s="43"/>
      <c r="AC131" s="43"/>
      <c r="AD131" s="43"/>
      <c r="AE131" s="43"/>
      <c r="AF131" s="43"/>
      <c r="AG131" s="43"/>
      <c r="AH131" s="43"/>
      <c r="AI131" s="43"/>
      <c r="AJ131" s="43"/>
      <c r="AK131" s="43"/>
      <c r="AL131" s="43"/>
      <c r="AM131" s="43"/>
      <c r="AN131" s="43"/>
      <c r="AO131" s="43"/>
      <c r="AP131" s="43"/>
      <c r="AQ131" s="43"/>
      <c r="AR131" s="53"/>
      <c r="AS131" s="52"/>
      <c r="AT131" s="43"/>
      <c r="AU131" s="43"/>
      <c r="AV131" s="43"/>
      <c r="AW131" s="43"/>
      <c r="AX131" s="43">
        <v>5.88</v>
      </c>
      <c r="AY131" s="43"/>
      <c r="AZ131" s="43"/>
      <c r="BA131" s="43"/>
      <c r="BB131" s="43"/>
      <c r="BC131" s="43"/>
      <c r="BD131" s="43"/>
      <c r="BE131" s="43"/>
      <c r="BF131" s="43"/>
      <c r="BG131" s="43"/>
      <c r="BH131" s="43"/>
      <c r="BI131" s="43"/>
      <c r="BJ131" s="43"/>
      <c r="BK131" s="43"/>
      <c r="BL131" s="43"/>
      <c r="BM131" s="43"/>
      <c r="BN131" s="43"/>
      <c r="BO131" s="43"/>
      <c r="BP131" s="43"/>
      <c r="BQ131" s="43"/>
      <c r="BR131" s="43"/>
      <c r="BS131" s="43"/>
      <c r="BT131" s="43"/>
      <c r="BU131" s="43"/>
      <c r="BV131" s="43"/>
      <c r="BW131" s="53"/>
      <c r="BX131" s="30">
        <f t="shared" si="17"/>
        <v>0</v>
      </c>
      <c r="BY131" s="52"/>
      <c r="BZ131" s="43">
        <v>180</v>
      </c>
      <c r="CA131" s="43"/>
      <c r="CB131" s="43"/>
      <c r="CC131" s="43"/>
      <c r="CD131" s="43"/>
      <c r="CE131" s="43"/>
      <c r="CF131" s="43"/>
      <c r="CG131" s="53"/>
      <c r="CH131" s="52"/>
      <c r="CI131" s="43"/>
      <c r="CJ131" s="43"/>
      <c r="CK131" s="43"/>
      <c r="CL131" s="43"/>
      <c r="CM131" s="43"/>
      <c r="CN131" s="43"/>
      <c r="CO131" s="43"/>
      <c r="CP131" s="43"/>
      <c r="CQ131" s="43"/>
      <c r="CR131" s="43"/>
      <c r="CS131" s="43"/>
      <c r="CT131" s="43"/>
      <c r="CU131" s="43"/>
      <c r="CV131" s="43"/>
      <c r="CW131" s="43"/>
      <c r="CX131" s="43"/>
      <c r="CY131" s="43"/>
      <c r="CZ131" s="7"/>
      <c r="DA131" s="7"/>
      <c r="DB131" s="43">
        <v>5.88</v>
      </c>
      <c r="DC131" s="43"/>
      <c r="DD131" s="53"/>
      <c r="DE131" s="73">
        <f t="shared" si="19"/>
        <v>0</v>
      </c>
      <c r="DG131" s="52">
        <v>180</v>
      </c>
      <c r="DH131" s="43">
        <v>5.88</v>
      </c>
      <c r="DI131" s="50">
        <f t="shared" si="20"/>
        <v>6613.7833333333328</v>
      </c>
      <c r="DK131" s="52"/>
      <c r="DL131" s="43"/>
      <c r="DM131" s="50">
        <f t="shared" si="21"/>
        <v>3606.8199999999997</v>
      </c>
      <c r="DO131" s="52"/>
      <c r="DP131" s="43"/>
      <c r="DQ131" s="50">
        <f t="shared" si="22"/>
        <v>7614.9100000000017</v>
      </c>
      <c r="DT131" s="52"/>
      <c r="DU131" s="43"/>
      <c r="DV131" s="50">
        <f t="shared" si="23"/>
        <v>518.19000000000005</v>
      </c>
      <c r="DX131" s="52"/>
      <c r="DY131" s="43"/>
      <c r="DZ131" s="53">
        <f t="shared" si="24"/>
        <v>367.43999999999994</v>
      </c>
      <c r="EB131" s="52"/>
      <c r="EC131" s="43"/>
      <c r="ED131" s="53">
        <f t="shared" si="25"/>
        <v>500</v>
      </c>
      <c r="EF131" s="52"/>
      <c r="EG131" s="43"/>
      <c r="EH131" s="53">
        <f t="shared" si="26"/>
        <v>1048.04</v>
      </c>
      <c r="EJ131" s="65"/>
      <c r="EK131" s="7"/>
      <c r="EL131" s="53">
        <f t="shared" si="27"/>
        <v>25.299999999999997</v>
      </c>
      <c r="EN131" s="51">
        <f t="shared" si="28"/>
        <v>-5786.2733333333217</v>
      </c>
      <c r="EP131" s="60">
        <f t="shared" si="29"/>
        <v>0</v>
      </c>
      <c r="EQ131" s="61">
        <f t="shared" si="30"/>
        <v>0</v>
      </c>
      <c r="ER131" s="15">
        <f t="shared" si="31"/>
        <v>0</v>
      </c>
      <c r="ES131" s="163">
        <f t="shared" si="34"/>
        <v>0</v>
      </c>
      <c r="EU131">
        <v>121</v>
      </c>
    </row>
    <row r="132" spans="1:151" x14ac:dyDescent="0.45">
      <c r="A132" s="67">
        <v>45559</v>
      </c>
      <c r="B132" s="25" t="s">
        <v>745</v>
      </c>
      <c r="C132" s="10" t="s">
        <v>706</v>
      </c>
      <c r="D132" s="7"/>
      <c r="E132" s="43">
        <v>90</v>
      </c>
      <c r="F132" s="168">
        <f>1.77+1.76</f>
        <v>3.5300000000000002</v>
      </c>
      <c r="G132" s="16">
        <f t="shared" si="18"/>
        <v>14594.680000000013</v>
      </c>
      <c r="H132" s="64" t="s">
        <v>625</v>
      </c>
      <c r="I132" s="52"/>
      <c r="J132" s="43"/>
      <c r="K132" s="43"/>
      <c r="L132" s="43"/>
      <c r="M132" s="43"/>
      <c r="N132" s="43"/>
      <c r="O132" s="43"/>
      <c r="P132" s="43"/>
      <c r="Q132" s="43"/>
      <c r="R132" s="43"/>
      <c r="S132" s="43"/>
      <c r="T132" s="43"/>
      <c r="U132" s="43"/>
      <c r="V132" s="43"/>
      <c r="W132" s="43"/>
      <c r="X132" s="43"/>
      <c r="Y132" s="43">
        <v>90</v>
      </c>
      <c r="Z132" s="43"/>
      <c r="AA132" s="43"/>
      <c r="AB132" s="43"/>
      <c r="AC132" s="43"/>
      <c r="AD132" s="43"/>
      <c r="AE132" s="43"/>
      <c r="AF132" s="43"/>
      <c r="AG132" s="43"/>
      <c r="AH132" s="43"/>
      <c r="AI132" s="43"/>
      <c r="AJ132" s="43"/>
      <c r="AK132" s="43"/>
      <c r="AL132" s="43"/>
      <c r="AM132" s="43"/>
      <c r="AN132" s="43"/>
      <c r="AO132" s="43"/>
      <c r="AP132" s="43"/>
      <c r="AQ132" s="43"/>
      <c r="AR132" s="53"/>
      <c r="AS132" s="52"/>
      <c r="AT132" s="43"/>
      <c r="AU132" s="43"/>
      <c r="AV132" s="43"/>
      <c r="AW132" s="43"/>
      <c r="AX132" s="43"/>
      <c r="AY132" s="43">
        <v>3.53</v>
      </c>
      <c r="AZ132" s="43"/>
      <c r="BA132" s="43"/>
      <c r="BB132" s="43"/>
      <c r="BC132" s="43"/>
      <c r="BD132" s="43"/>
      <c r="BE132" s="43"/>
      <c r="BF132" s="43"/>
      <c r="BG132" s="43"/>
      <c r="BH132" s="43"/>
      <c r="BI132" s="43"/>
      <c r="BJ132" s="43"/>
      <c r="BK132" s="43"/>
      <c r="BL132" s="43"/>
      <c r="BM132" s="43"/>
      <c r="BN132" s="43"/>
      <c r="BO132" s="43"/>
      <c r="BP132" s="43"/>
      <c r="BQ132" s="43"/>
      <c r="BR132" s="43"/>
      <c r="BS132" s="43"/>
      <c r="BT132" s="43"/>
      <c r="BU132" s="43"/>
      <c r="BV132" s="43"/>
      <c r="BW132" s="53"/>
      <c r="BX132" s="30">
        <f t="shared" si="17"/>
        <v>0</v>
      </c>
      <c r="BY132" s="52"/>
      <c r="BZ132" s="43">
        <v>90</v>
      </c>
      <c r="CA132" s="43"/>
      <c r="CB132" s="43"/>
      <c r="CC132" s="43"/>
      <c r="CD132" s="43"/>
      <c r="CE132" s="43"/>
      <c r="CF132" s="43"/>
      <c r="CG132" s="53"/>
      <c r="CH132" s="52"/>
      <c r="CI132" s="43"/>
      <c r="CJ132" s="43"/>
      <c r="CK132" s="43"/>
      <c r="CL132" s="43"/>
      <c r="CM132" s="43"/>
      <c r="CN132" s="43"/>
      <c r="CO132" s="43"/>
      <c r="CP132" s="43"/>
      <c r="CQ132" s="43"/>
      <c r="CR132" s="43"/>
      <c r="CS132" s="43"/>
      <c r="CT132" s="43"/>
      <c r="CU132" s="43"/>
      <c r="CV132" s="43"/>
      <c r="CW132" s="43"/>
      <c r="CX132" s="43"/>
      <c r="CY132" s="43"/>
      <c r="CZ132" s="7"/>
      <c r="DA132" s="7"/>
      <c r="DB132" s="43">
        <v>3.53</v>
      </c>
      <c r="DC132" s="43"/>
      <c r="DD132" s="53"/>
      <c r="DE132" s="73">
        <f t="shared" si="19"/>
        <v>0</v>
      </c>
      <c r="DG132" s="52"/>
      <c r="DH132" s="43"/>
      <c r="DI132" s="50">
        <f t="shared" si="20"/>
        <v>6613.7833333333328</v>
      </c>
      <c r="DK132" s="52">
        <v>90</v>
      </c>
      <c r="DL132" s="43">
        <v>3.53</v>
      </c>
      <c r="DM132" s="50">
        <f t="shared" si="21"/>
        <v>3693.2899999999995</v>
      </c>
      <c r="DO132" s="52"/>
      <c r="DP132" s="43"/>
      <c r="DQ132" s="50">
        <f t="shared" si="22"/>
        <v>7614.9100000000017</v>
      </c>
      <c r="DT132" s="52"/>
      <c r="DU132" s="43"/>
      <c r="DV132" s="50">
        <f t="shared" si="23"/>
        <v>518.19000000000005</v>
      </c>
      <c r="DX132" s="52"/>
      <c r="DY132" s="43"/>
      <c r="DZ132" s="53">
        <f t="shared" si="24"/>
        <v>367.43999999999994</v>
      </c>
      <c r="EB132" s="52"/>
      <c r="EC132" s="43"/>
      <c r="ED132" s="53">
        <f t="shared" si="25"/>
        <v>500</v>
      </c>
      <c r="EF132" s="52"/>
      <c r="EG132" s="43"/>
      <c r="EH132" s="53">
        <f t="shared" si="26"/>
        <v>1048.04</v>
      </c>
      <c r="EJ132" s="65"/>
      <c r="EK132" s="7"/>
      <c r="EL132" s="53">
        <f t="shared" si="27"/>
        <v>25.299999999999997</v>
      </c>
      <c r="EN132" s="51">
        <f t="shared" si="28"/>
        <v>-5786.2733333333217</v>
      </c>
      <c r="EP132" s="60">
        <f t="shared" si="29"/>
        <v>0</v>
      </c>
      <c r="EQ132" s="61">
        <f t="shared" si="30"/>
        <v>0</v>
      </c>
      <c r="ER132" s="15">
        <f t="shared" si="31"/>
        <v>0</v>
      </c>
      <c r="ES132" s="62">
        <f t="shared" si="34"/>
        <v>0</v>
      </c>
      <c r="EU132" s="6">
        <v>122</v>
      </c>
    </row>
    <row r="133" spans="1:151" x14ac:dyDescent="0.45">
      <c r="A133" s="67">
        <v>45559</v>
      </c>
      <c r="B133" s="25" t="s">
        <v>742</v>
      </c>
      <c r="C133" s="10" t="s">
        <v>836</v>
      </c>
      <c r="D133" s="7"/>
      <c r="E133" s="43">
        <v>135</v>
      </c>
      <c r="F133" s="43">
        <f>1.77+2.64</f>
        <v>4.41</v>
      </c>
      <c r="G133" s="16">
        <f t="shared" si="18"/>
        <v>14725.270000000013</v>
      </c>
      <c r="H133" s="64" t="s">
        <v>625</v>
      </c>
      <c r="I133" s="52"/>
      <c r="J133" s="43"/>
      <c r="K133" s="43"/>
      <c r="L133" s="43"/>
      <c r="M133" s="43"/>
      <c r="N133" s="43"/>
      <c r="O133" s="43"/>
      <c r="P133" s="43"/>
      <c r="Q133" s="43"/>
      <c r="R133" s="43"/>
      <c r="S133" s="43"/>
      <c r="T133" s="43"/>
      <c r="U133" s="43"/>
      <c r="V133" s="43"/>
      <c r="W133" s="43"/>
      <c r="X133" s="43"/>
      <c r="Y133" s="43"/>
      <c r="Z133" s="43">
        <v>135</v>
      </c>
      <c r="AA133" s="43"/>
      <c r="AB133" s="43"/>
      <c r="AC133" s="43"/>
      <c r="AD133" s="43"/>
      <c r="AE133" s="43"/>
      <c r="AF133" s="43"/>
      <c r="AG133" s="43"/>
      <c r="AH133" s="43"/>
      <c r="AI133" s="43"/>
      <c r="AJ133" s="43"/>
      <c r="AK133" s="43"/>
      <c r="AL133" s="43"/>
      <c r="AM133" s="43"/>
      <c r="AN133" s="43"/>
      <c r="AO133" s="43"/>
      <c r="AP133" s="43"/>
      <c r="AQ133" s="43"/>
      <c r="AR133" s="53"/>
      <c r="AS133" s="52"/>
      <c r="AT133" s="43"/>
      <c r="AU133" s="43"/>
      <c r="AV133" s="43"/>
      <c r="AW133" s="43"/>
      <c r="AX133" s="43"/>
      <c r="AY133" s="43"/>
      <c r="AZ133" s="43">
        <v>4.41</v>
      </c>
      <c r="BA133" s="43"/>
      <c r="BB133" s="43"/>
      <c r="BC133" s="43"/>
      <c r="BD133" s="43"/>
      <c r="BE133" s="43"/>
      <c r="BF133" s="43"/>
      <c r="BG133" s="43"/>
      <c r="BH133" s="43"/>
      <c r="BI133" s="43"/>
      <c r="BJ133" s="43"/>
      <c r="BK133" s="43"/>
      <c r="BL133" s="43"/>
      <c r="BM133" s="43"/>
      <c r="BN133" s="43"/>
      <c r="BO133" s="43"/>
      <c r="BP133" s="43"/>
      <c r="BQ133" s="43"/>
      <c r="BR133" s="43"/>
      <c r="BS133" s="43"/>
      <c r="BT133" s="43"/>
      <c r="BU133" s="43"/>
      <c r="BV133" s="43"/>
      <c r="BW133" s="53"/>
      <c r="BX133" s="30">
        <f t="shared" si="17"/>
        <v>0</v>
      </c>
      <c r="BY133" s="52"/>
      <c r="BZ133" s="43">
        <v>135</v>
      </c>
      <c r="CA133" s="43"/>
      <c r="CB133" s="43"/>
      <c r="CC133" s="43"/>
      <c r="CD133" s="43"/>
      <c r="CE133" s="43"/>
      <c r="CF133" s="43"/>
      <c r="CG133" s="53"/>
      <c r="CH133" s="52"/>
      <c r="CI133" s="43"/>
      <c r="CJ133" s="43"/>
      <c r="CK133" s="43"/>
      <c r="CL133" s="43"/>
      <c r="CM133" s="43"/>
      <c r="CN133" s="43"/>
      <c r="CO133" s="43"/>
      <c r="CP133" s="43"/>
      <c r="CQ133" s="43"/>
      <c r="CR133" s="43"/>
      <c r="CS133" s="43"/>
      <c r="CT133" s="43"/>
      <c r="CU133" s="43"/>
      <c r="CV133" s="43"/>
      <c r="CW133" s="43"/>
      <c r="CX133" s="43"/>
      <c r="CY133" s="43"/>
      <c r="CZ133" s="7"/>
      <c r="DA133" s="7"/>
      <c r="DB133" s="43">
        <v>4.41</v>
      </c>
      <c r="DC133" s="43"/>
      <c r="DD133" s="53"/>
      <c r="DE133" s="73">
        <f t="shared" si="19"/>
        <v>0</v>
      </c>
      <c r="DG133" s="52"/>
      <c r="DH133" s="43"/>
      <c r="DI133" s="50">
        <f t="shared" si="20"/>
        <v>6613.7833333333328</v>
      </c>
      <c r="DK133" s="52"/>
      <c r="DL133" s="43"/>
      <c r="DM133" s="50">
        <f t="shared" si="21"/>
        <v>3693.2899999999995</v>
      </c>
      <c r="DO133" s="52">
        <v>135</v>
      </c>
      <c r="DP133" s="43">
        <v>4.41</v>
      </c>
      <c r="DQ133" s="50">
        <f t="shared" si="22"/>
        <v>7745.5000000000018</v>
      </c>
      <c r="DT133" s="52"/>
      <c r="DU133" s="43"/>
      <c r="DV133" s="50">
        <f t="shared" si="23"/>
        <v>518.19000000000005</v>
      </c>
      <c r="DX133" s="52"/>
      <c r="DY133" s="43"/>
      <c r="DZ133" s="53">
        <f t="shared" si="24"/>
        <v>367.43999999999994</v>
      </c>
      <c r="EB133" s="52"/>
      <c r="EC133" s="43"/>
      <c r="ED133" s="53">
        <f t="shared" si="25"/>
        <v>500</v>
      </c>
      <c r="EF133" s="52"/>
      <c r="EG133" s="43"/>
      <c r="EH133" s="53">
        <f t="shared" si="26"/>
        <v>1048.04</v>
      </c>
      <c r="EJ133" s="65"/>
      <c r="EK133" s="7"/>
      <c r="EL133" s="53">
        <f t="shared" si="27"/>
        <v>25.299999999999997</v>
      </c>
      <c r="EN133" s="51">
        <f t="shared" si="28"/>
        <v>-5786.2733333333217</v>
      </c>
      <c r="EP133" s="60">
        <f t="shared" si="29"/>
        <v>0</v>
      </c>
      <c r="EQ133" s="61">
        <f t="shared" si="30"/>
        <v>0</v>
      </c>
      <c r="ER133" s="15">
        <f t="shared" si="31"/>
        <v>0</v>
      </c>
      <c r="ES133" s="163">
        <f t="shared" si="34"/>
        <v>0</v>
      </c>
      <c r="EU133">
        <v>123</v>
      </c>
    </row>
    <row r="134" spans="1:151" x14ac:dyDescent="0.45">
      <c r="A134" s="67">
        <v>45559</v>
      </c>
      <c r="B134" s="221" t="s">
        <v>746</v>
      </c>
      <c r="C134" s="10" t="s">
        <v>823</v>
      </c>
      <c r="D134" s="7"/>
      <c r="E134" s="43">
        <v>90</v>
      </c>
      <c r="F134" s="43">
        <v>2.94</v>
      </c>
      <c r="G134" s="16">
        <f t="shared" si="18"/>
        <v>14812.330000000013</v>
      </c>
      <c r="H134" s="64" t="s">
        <v>625</v>
      </c>
      <c r="I134" s="52"/>
      <c r="J134" s="43"/>
      <c r="K134" s="43"/>
      <c r="L134" s="43"/>
      <c r="M134" s="43"/>
      <c r="N134" s="43"/>
      <c r="O134" s="43"/>
      <c r="P134" s="43"/>
      <c r="Q134" s="43"/>
      <c r="R134" s="43"/>
      <c r="S134" s="43"/>
      <c r="T134" s="43"/>
      <c r="U134" s="43"/>
      <c r="V134" s="43"/>
      <c r="W134" s="43"/>
      <c r="X134" s="43"/>
      <c r="Y134" s="43"/>
      <c r="Z134" s="43">
        <v>90</v>
      </c>
      <c r="AA134" s="43"/>
      <c r="AB134" s="43"/>
      <c r="AC134" s="43"/>
      <c r="AD134" s="43"/>
      <c r="AE134" s="43"/>
      <c r="AF134" s="43"/>
      <c r="AG134" s="43"/>
      <c r="AH134" s="43"/>
      <c r="AI134" s="43"/>
      <c r="AJ134" s="43"/>
      <c r="AK134" s="43"/>
      <c r="AL134" s="43"/>
      <c r="AM134" s="43"/>
      <c r="AN134" s="43"/>
      <c r="AO134" s="43"/>
      <c r="AP134" s="43"/>
      <c r="AQ134" s="43"/>
      <c r="AR134" s="53"/>
      <c r="AS134" s="52"/>
      <c r="AT134" s="43"/>
      <c r="AU134" s="43"/>
      <c r="AV134" s="43"/>
      <c r="AW134" s="43"/>
      <c r="AX134" s="43"/>
      <c r="AY134" s="43"/>
      <c r="AZ134" s="43">
        <v>2.94</v>
      </c>
      <c r="BA134" s="43"/>
      <c r="BB134" s="43"/>
      <c r="BC134" s="43"/>
      <c r="BD134" s="43"/>
      <c r="BE134" s="43"/>
      <c r="BF134" s="43"/>
      <c r="BG134" s="43"/>
      <c r="BH134" s="43"/>
      <c r="BI134" s="43"/>
      <c r="BJ134" s="43"/>
      <c r="BK134" s="43"/>
      <c r="BL134" s="43"/>
      <c r="BM134" s="43"/>
      <c r="BN134" s="43"/>
      <c r="BO134" s="43"/>
      <c r="BP134" s="43"/>
      <c r="BQ134" s="43"/>
      <c r="BR134" s="43"/>
      <c r="BS134" s="43"/>
      <c r="BT134" s="43"/>
      <c r="BU134" s="43"/>
      <c r="BV134" s="43"/>
      <c r="BW134" s="53"/>
      <c r="BX134" s="30">
        <f t="shared" si="17"/>
        <v>0</v>
      </c>
      <c r="BY134" s="52"/>
      <c r="BZ134" s="43">
        <v>90</v>
      </c>
      <c r="CA134" s="43"/>
      <c r="CB134" s="43"/>
      <c r="CC134" s="43"/>
      <c r="CD134" s="43"/>
      <c r="CE134" s="43"/>
      <c r="CF134" s="43"/>
      <c r="CG134" s="53"/>
      <c r="CH134" s="52"/>
      <c r="CI134" s="43"/>
      <c r="CJ134" s="43"/>
      <c r="CK134" s="43"/>
      <c r="CL134" s="43"/>
      <c r="CM134" s="43"/>
      <c r="CN134" s="43"/>
      <c r="CO134" s="43"/>
      <c r="CP134" s="43"/>
      <c r="CQ134" s="43"/>
      <c r="CR134" s="43"/>
      <c r="CS134" s="43"/>
      <c r="CT134" s="43"/>
      <c r="CU134" s="43"/>
      <c r="CV134" s="43"/>
      <c r="CW134" s="43"/>
      <c r="CX134" s="43"/>
      <c r="CY134" s="43"/>
      <c r="CZ134" s="7"/>
      <c r="DA134" s="7"/>
      <c r="DB134" s="43">
        <v>2.94</v>
      </c>
      <c r="DC134" s="43"/>
      <c r="DD134" s="53"/>
      <c r="DE134" s="73">
        <f t="shared" si="19"/>
        <v>0</v>
      </c>
      <c r="DG134" s="52"/>
      <c r="DH134" s="43"/>
      <c r="DI134" s="50">
        <f t="shared" si="20"/>
        <v>6613.7833333333328</v>
      </c>
      <c r="DK134" s="52"/>
      <c r="DL134" s="43"/>
      <c r="DM134" s="50">
        <f t="shared" si="21"/>
        <v>3693.2899999999995</v>
      </c>
      <c r="DO134" s="52">
        <v>90</v>
      </c>
      <c r="DP134" s="43">
        <v>2.94</v>
      </c>
      <c r="DQ134" s="50">
        <f t="shared" si="22"/>
        <v>7832.5600000000022</v>
      </c>
      <c r="DT134" s="52"/>
      <c r="DU134" s="43"/>
      <c r="DV134" s="50">
        <f t="shared" si="23"/>
        <v>518.19000000000005</v>
      </c>
      <c r="DX134" s="52"/>
      <c r="DY134" s="43"/>
      <c r="DZ134" s="53">
        <f t="shared" si="24"/>
        <v>367.43999999999994</v>
      </c>
      <c r="EB134" s="52"/>
      <c r="EC134" s="43"/>
      <c r="ED134" s="53">
        <f t="shared" si="25"/>
        <v>500</v>
      </c>
      <c r="EF134" s="52"/>
      <c r="EG134" s="43"/>
      <c r="EH134" s="53">
        <f t="shared" si="26"/>
        <v>1048.04</v>
      </c>
      <c r="EJ134" s="65"/>
      <c r="EK134" s="7"/>
      <c r="EL134" s="53">
        <f t="shared" si="27"/>
        <v>25.299999999999997</v>
      </c>
      <c r="EN134" s="51">
        <f t="shared" si="28"/>
        <v>-5786.2733333333217</v>
      </c>
      <c r="EP134" s="60">
        <f t="shared" si="29"/>
        <v>0</v>
      </c>
      <c r="EQ134" s="61">
        <f t="shared" si="30"/>
        <v>0</v>
      </c>
      <c r="ER134" s="15">
        <f t="shared" si="31"/>
        <v>0</v>
      </c>
      <c r="ES134" s="62">
        <f t="shared" si="34"/>
        <v>0</v>
      </c>
      <c r="EU134" s="6">
        <v>124</v>
      </c>
    </row>
    <row r="135" spans="1:151" x14ac:dyDescent="0.45">
      <c r="A135" s="67">
        <v>45560</v>
      </c>
      <c r="B135" s="25" t="s">
        <v>821</v>
      </c>
      <c r="C135" s="10" t="s">
        <v>185</v>
      </c>
      <c r="D135" s="7"/>
      <c r="E135" s="43"/>
      <c r="F135" s="43">
        <v>115.48</v>
      </c>
      <c r="G135" s="16">
        <f t="shared" si="18"/>
        <v>14696.850000000013</v>
      </c>
      <c r="H135" s="64" t="s">
        <v>625</v>
      </c>
      <c r="I135" s="52"/>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53"/>
      <c r="AS135" s="52"/>
      <c r="AT135" s="43"/>
      <c r="AU135" s="43"/>
      <c r="AV135" s="43"/>
      <c r="AW135" s="43"/>
      <c r="AX135" s="43">
        <v>38.49</v>
      </c>
      <c r="AY135" s="43">
        <v>38.49</v>
      </c>
      <c r="AZ135" s="43">
        <v>38.5</v>
      </c>
      <c r="BA135" s="43"/>
      <c r="BB135" s="43"/>
      <c r="BC135" s="43"/>
      <c r="BD135" s="43"/>
      <c r="BE135" s="43"/>
      <c r="BF135" s="43"/>
      <c r="BG135" s="43"/>
      <c r="BH135" s="43"/>
      <c r="BI135" s="43"/>
      <c r="BJ135" s="43"/>
      <c r="BK135" s="43"/>
      <c r="BL135" s="43"/>
      <c r="BM135" s="43"/>
      <c r="BN135" s="43"/>
      <c r="BO135" s="43"/>
      <c r="BP135" s="43"/>
      <c r="BQ135" s="43"/>
      <c r="BR135" s="43"/>
      <c r="BS135" s="43"/>
      <c r="BT135" s="43"/>
      <c r="BU135" s="43"/>
      <c r="BV135" s="43"/>
      <c r="BW135" s="53"/>
      <c r="BX135" s="30">
        <f t="shared" ref="BX135:BX198" si="35">E135-SUM(I135:AR135)+F135-SUM(AS135:BW135)</f>
        <v>0</v>
      </c>
      <c r="BY135" s="52"/>
      <c r="BZ135" s="43"/>
      <c r="CA135" s="43"/>
      <c r="CB135" s="43"/>
      <c r="CC135" s="43"/>
      <c r="CD135" s="43"/>
      <c r="CE135" s="43"/>
      <c r="CF135" s="43"/>
      <c r="CG135" s="53"/>
      <c r="CH135" s="52"/>
      <c r="CI135" s="43"/>
      <c r="CJ135" s="43"/>
      <c r="CK135" s="43"/>
      <c r="CL135" s="43">
        <v>115.48</v>
      </c>
      <c r="CM135" s="43"/>
      <c r="CN135" s="43"/>
      <c r="CO135" s="43"/>
      <c r="CP135" s="43"/>
      <c r="CQ135" s="43"/>
      <c r="CR135" s="43"/>
      <c r="CS135" s="43"/>
      <c r="CT135" s="43"/>
      <c r="CU135" s="43"/>
      <c r="CV135" s="43"/>
      <c r="CW135" s="43"/>
      <c r="CX135" s="43"/>
      <c r="CY135" s="43"/>
      <c r="CZ135" s="7"/>
      <c r="DA135" s="7"/>
      <c r="DB135" s="43"/>
      <c r="DC135" s="43"/>
      <c r="DD135" s="53"/>
      <c r="DE135" s="73">
        <f t="shared" si="19"/>
        <v>0</v>
      </c>
      <c r="DG135" s="52"/>
      <c r="DH135" s="43">
        <v>38.49</v>
      </c>
      <c r="DI135" s="50">
        <f t="shared" si="20"/>
        <v>6575.2933333333331</v>
      </c>
      <c r="DK135" s="52"/>
      <c r="DL135" s="43">
        <v>38.49</v>
      </c>
      <c r="DM135" s="50">
        <f t="shared" si="21"/>
        <v>3654.7999999999997</v>
      </c>
      <c r="DO135" s="52"/>
      <c r="DP135" s="43">
        <v>38.5</v>
      </c>
      <c r="DQ135" s="50">
        <f t="shared" si="22"/>
        <v>7794.0600000000022</v>
      </c>
      <c r="DT135" s="52"/>
      <c r="DU135" s="43"/>
      <c r="DV135" s="50">
        <f t="shared" si="23"/>
        <v>518.19000000000005</v>
      </c>
      <c r="DX135" s="52"/>
      <c r="DY135" s="43"/>
      <c r="DZ135" s="53">
        <f t="shared" si="24"/>
        <v>367.43999999999994</v>
      </c>
      <c r="EB135" s="52"/>
      <c r="EC135" s="43"/>
      <c r="ED135" s="53">
        <f t="shared" si="25"/>
        <v>500</v>
      </c>
      <c r="EF135" s="52"/>
      <c r="EG135" s="43"/>
      <c r="EH135" s="53">
        <f t="shared" si="26"/>
        <v>1048.04</v>
      </c>
      <c r="EJ135" s="65"/>
      <c r="EK135" s="7"/>
      <c r="EL135" s="53">
        <f t="shared" si="27"/>
        <v>25.299999999999997</v>
      </c>
      <c r="EN135" s="51">
        <f t="shared" si="28"/>
        <v>-5786.2733333333217</v>
      </c>
      <c r="EP135" s="60">
        <f t="shared" si="29"/>
        <v>0</v>
      </c>
      <c r="EQ135" s="61">
        <f t="shared" si="30"/>
        <v>0</v>
      </c>
      <c r="ER135" s="15">
        <f t="shared" si="31"/>
        <v>0</v>
      </c>
      <c r="ES135" s="163">
        <f t="shared" si="34"/>
        <v>0</v>
      </c>
      <c r="EU135">
        <v>125</v>
      </c>
    </row>
    <row r="136" spans="1:151" x14ac:dyDescent="0.45">
      <c r="A136" s="67">
        <v>45560</v>
      </c>
      <c r="B136" s="25" t="s">
        <v>745</v>
      </c>
      <c r="C136" s="10" t="s">
        <v>839</v>
      </c>
      <c r="D136" s="7"/>
      <c r="E136" s="43">
        <v>45</v>
      </c>
      <c r="F136" s="43">
        <v>1.47</v>
      </c>
      <c r="G136" s="16">
        <f t="shared" ref="G136:G199" si="36">G135+E136-F136</f>
        <v>14740.380000000014</v>
      </c>
      <c r="H136" s="64" t="s">
        <v>625</v>
      </c>
      <c r="I136" s="52"/>
      <c r="J136" s="43"/>
      <c r="K136" s="43"/>
      <c r="L136" s="43"/>
      <c r="M136" s="43"/>
      <c r="N136" s="43"/>
      <c r="O136" s="43"/>
      <c r="P136" s="43"/>
      <c r="Q136" s="43"/>
      <c r="R136" s="43"/>
      <c r="S136" s="43"/>
      <c r="T136" s="43"/>
      <c r="U136" s="43"/>
      <c r="V136" s="43"/>
      <c r="W136" s="43"/>
      <c r="X136" s="43"/>
      <c r="Y136" s="43">
        <v>45</v>
      </c>
      <c r="Z136" s="43"/>
      <c r="AA136" s="43"/>
      <c r="AB136" s="43"/>
      <c r="AC136" s="43"/>
      <c r="AD136" s="43"/>
      <c r="AE136" s="43"/>
      <c r="AF136" s="43"/>
      <c r="AG136" s="43"/>
      <c r="AH136" s="43"/>
      <c r="AI136" s="43"/>
      <c r="AJ136" s="43"/>
      <c r="AK136" s="43"/>
      <c r="AL136" s="43"/>
      <c r="AM136" s="43"/>
      <c r="AN136" s="43"/>
      <c r="AO136" s="43"/>
      <c r="AP136" s="43"/>
      <c r="AQ136" s="43"/>
      <c r="AR136" s="53"/>
      <c r="AS136" s="52"/>
      <c r="AT136" s="43"/>
      <c r="AU136" s="43"/>
      <c r="AV136" s="43"/>
      <c r="AW136" s="43"/>
      <c r="AX136" s="43"/>
      <c r="AY136" s="43">
        <v>1.47</v>
      </c>
      <c r="AZ136" s="43"/>
      <c r="BA136" s="43"/>
      <c r="BB136" s="43"/>
      <c r="BC136" s="43"/>
      <c r="BD136" s="43"/>
      <c r="BE136" s="43"/>
      <c r="BF136" s="43"/>
      <c r="BG136" s="43"/>
      <c r="BH136" s="43"/>
      <c r="BI136" s="43"/>
      <c r="BJ136" s="43"/>
      <c r="BK136" s="43"/>
      <c r="BL136" s="43"/>
      <c r="BM136" s="43"/>
      <c r="BN136" s="43"/>
      <c r="BO136" s="43"/>
      <c r="BP136" s="43"/>
      <c r="BQ136" s="43"/>
      <c r="BR136" s="43"/>
      <c r="BS136" s="43"/>
      <c r="BT136" s="43"/>
      <c r="BU136" s="43"/>
      <c r="BV136" s="43"/>
      <c r="BW136" s="53"/>
      <c r="BX136" s="30">
        <f t="shared" si="35"/>
        <v>0</v>
      </c>
      <c r="BY136" s="52"/>
      <c r="BZ136" s="43">
        <v>45</v>
      </c>
      <c r="CA136" s="43"/>
      <c r="CB136" s="43"/>
      <c r="CC136" s="43"/>
      <c r="CD136" s="43"/>
      <c r="CE136" s="43"/>
      <c r="CF136" s="43"/>
      <c r="CG136" s="53"/>
      <c r="CH136" s="52"/>
      <c r="CI136" s="43"/>
      <c r="CJ136" s="43"/>
      <c r="CK136" s="43"/>
      <c r="CL136" s="43"/>
      <c r="CM136" s="43"/>
      <c r="CN136" s="43"/>
      <c r="CO136" s="43"/>
      <c r="CP136" s="43"/>
      <c r="CQ136" s="43"/>
      <c r="CR136" s="43"/>
      <c r="CS136" s="43"/>
      <c r="CT136" s="43"/>
      <c r="CU136" s="43"/>
      <c r="CV136" s="43"/>
      <c r="CW136" s="43"/>
      <c r="CX136" s="43"/>
      <c r="CY136" s="43"/>
      <c r="CZ136" s="7"/>
      <c r="DA136" s="7"/>
      <c r="DB136" s="43">
        <v>1.47</v>
      </c>
      <c r="DC136" s="43"/>
      <c r="DD136" s="53"/>
      <c r="DE136" s="73">
        <f t="shared" ref="DE136:DE199" si="37">SUM(E136:F136)-SUM(BY136:DD136)</f>
        <v>0</v>
      </c>
      <c r="DG136" s="52"/>
      <c r="DH136" s="43"/>
      <c r="DI136" s="50">
        <f t="shared" ref="DI136:DI199" si="38">SUM(DI135+DG136-DH136)</f>
        <v>6575.2933333333331</v>
      </c>
      <c r="DK136" s="52">
        <v>45</v>
      </c>
      <c r="DL136" s="43">
        <v>1.47</v>
      </c>
      <c r="DM136" s="53">
        <f t="shared" ref="DM136:DM199" si="39">SUM(DM135+DK136-DL136)</f>
        <v>3698.33</v>
      </c>
      <c r="DO136" s="52"/>
      <c r="DP136" s="43"/>
      <c r="DQ136" s="50">
        <f t="shared" ref="DQ136:DQ199" si="40">SUM(DQ135+DO136-DP136)</f>
        <v>7794.0600000000022</v>
      </c>
      <c r="DT136" s="52"/>
      <c r="DU136" s="43"/>
      <c r="DV136" s="50">
        <f t="shared" ref="DV136:DV199" si="41">SUM(DV135+DT136-DU136)</f>
        <v>518.19000000000005</v>
      </c>
      <c r="DX136" s="52"/>
      <c r="DY136" s="43"/>
      <c r="DZ136" s="53">
        <f t="shared" ref="DZ136:DZ199" si="42">DZ135+DX136-DY136</f>
        <v>367.43999999999994</v>
      </c>
      <c r="EB136" s="52"/>
      <c r="EC136" s="43"/>
      <c r="ED136" s="53">
        <f t="shared" ref="ED136:ED199" si="43">ED135+EB136-EC136</f>
        <v>500</v>
      </c>
      <c r="EF136" s="52"/>
      <c r="EG136" s="43"/>
      <c r="EH136" s="53">
        <f t="shared" ref="EH136:EH199" si="44">EH135+EF136-EG136</f>
        <v>1048.04</v>
      </c>
      <c r="EJ136" s="65"/>
      <c r="EK136" s="7"/>
      <c r="EL136" s="53">
        <f t="shared" ref="EL136:EL199" si="45">EL135+EJ136-EK136</f>
        <v>25.299999999999997</v>
      </c>
      <c r="EN136" s="51">
        <f t="shared" ref="EN136:EN199" si="46">G136-DI136-DM136-DQ136-DZ136-ED136-EH136-EL136-DV136</f>
        <v>-5786.2733333333217</v>
      </c>
      <c r="EP136" s="60">
        <f t="shared" ref="EP136:EP199" si="47">DH135-AS135-AX135-BD135-BI135-BN135-BS135</f>
        <v>0</v>
      </c>
      <c r="EQ136" s="61">
        <f t="shared" ref="EQ136:EQ199" si="48">+DL136-BT136-BO136-BJ136-BE136-AY136-AT136</f>
        <v>0</v>
      </c>
      <c r="ER136" s="15">
        <f t="shared" ref="ER136:ER199" si="49">+DP136-BU136-BP136-BK136-BF136-AZ136-AU136</f>
        <v>0</v>
      </c>
      <c r="ES136" s="62">
        <f t="shared" si="34"/>
        <v>0</v>
      </c>
      <c r="EU136" s="6">
        <v>126</v>
      </c>
    </row>
    <row r="137" spans="1:151" x14ac:dyDescent="0.45">
      <c r="A137" s="67">
        <v>45560</v>
      </c>
      <c r="B137" s="25" t="s">
        <v>822</v>
      </c>
      <c r="C137" s="10" t="s">
        <v>837</v>
      </c>
      <c r="D137" s="7"/>
      <c r="E137" s="43">
        <v>45</v>
      </c>
      <c r="F137" s="43">
        <v>1.47</v>
      </c>
      <c r="G137" s="16">
        <f t="shared" si="36"/>
        <v>14783.910000000014</v>
      </c>
      <c r="H137" s="64" t="s">
        <v>625</v>
      </c>
      <c r="I137" s="52"/>
      <c r="J137" s="43"/>
      <c r="K137" s="43"/>
      <c r="L137" s="43"/>
      <c r="M137" s="43"/>
      <c r="N137" s="43"/>
      <c r="O137" s="43"/>
      <c r="P137" s="43"/>
      <c r="Q137" s="43"/>
      <c r="R137" s="43"/>
      <c r="S137" s="43"/>
      <c r="T137" s="43"/>
      <c r="U137" s="43"/>
      <c r="V137" s="43"/>
      <c r="W137" s="43"/>
      <c r="X137" s="43"/>
      <c r="Y137" s="43"/>
      <c r="Z137" s="43">
        <v>45</v>
      </c>
      <c r="AA137" s="43"/>
      <c r="AB137" s="43"/>
      <c r="AC137" s="43"/>
      <c r="AD137" s="43"/>
      <c r="AE137" s="43"/>
      <c r="AF137" s="43"/>
      <c r="AG137" s="43"/>
      <c r="AH137" s="43"/>
      <c r="AI137" s="43"/>
      <c r="AJ137" s="43"/>
      <c r="AK137" s="43"/>
      <c r="AL137" s="43"/>
      <c r="AM137" s="43"/>
      <c r="AN137" s="43"/>
      <c r="AO137" s="43"/>
      <c r="AP137" s="43"/>
      <c r="AQ137" s="43"/>
      <c r="AR137" s="53"/>
      <c r="AS137" s="52"/>
      <c r="AT137" s="43"/>
      <c r="AU137" s="43"/>
      <c r="AV137" s="43"/>
      <c r="AW137" s="43"/>
      <c r="AX137" s="43"/>
      <c r="AY137" s="43"/>
      <c r="AZ137" s="43">
        <v>1.47</v>
      </c>
      <c r="BA137" s="43"/>
      <c r="BB137" s="43"/>
      <c r="BC137" s="43"/>
      <c r="BD137" s="43"/>
      <c r="BE137" s="43"/>
      <c r="BF137" s="43"/>
      <c r="BG137" s="43"/>
      <c r="BH137" s="43"/>
      <c r="BI137" s="43"/>
      <c r="BJ137" s="43"/>
      <c r="BK137" s="43"/>
      <c r="BL137" s="43"/>
      <c r="BM137" s="43"/>
      <c r="BN137" s="43"/>
      <c r="BO137" s="43"/>
      <c r="BP137" s="43"/>
      <c r="BQ137" s="43"/>
      <c r="BR137" s="43"/>
      <c r="BS137" s="43"/>
      <c r="BT137" s="43"/>
      <c r="BU137" s="43"/>
      <c r="BV137" s="43"/>
      <c r="BW137" s="53"/>
      <c r="BX137" s="30">
        <f t="shared" si="35"/>
        <v>0</v>
      </c>
      <c r="BY137" s="52"/>
      <c r="BZ137" s="43">
        <v>45</v>
      </c>
      <c r="CA137" s="43"/>
      <c r="CB137" s="43"/>
      <c r="CC137" s="43"/>
      <c r="CD137" s="43"/>
      <c r="CE137" s="43"/>
      <c r="CF137" s="43"/>
      <c r="CG137" s="53"/>
      <c r="CH137" s="52"/>
      <c r="CI137" s="43"/>
      <c r="CJ137" s="43"/>
      <c r="CK137" s="43"/>
      <c r="CL137" s="43"/>
      <c r="CM137" s="43"/>
      <c r="CN137" s="43"/>
      <c r="CO137" s="43"/>
      <c r="CP137" s="43"/>
      <c r="CQ137" s="43"/>
      <c r="CR137" s="43"/>
      <c r="CS137" s="43"/>
      <c r="CT137" s="43"/>
      <c r="CU137" s="43"/>
      <c r="CV137" s="43"/>
      <c r="CW137" s="43"/>
      <c r="CX137" s="43"/>
      <c r="CY137" s="43"/>
      <c r="CZ137" s="7"/>
      <c r="DA137" s="7"/>
      <c r="DB137" s="43">
        <v>1.47</v>
      </c>
      <c r="DC137" s="43"/>
      <c r="DD137" s="53"/>
      <c r="DE137" s="73">
        <f t="shared" si="37"/>
        <v>0</v>
      </c>
      <c r="DG137" s="52"/>
      <c r="DH137" s="43"/>
      <c r="DI137" s="50">
        <f t="shared" si="38"/>
        <v>6575.2933333333331</v>
      </c>
      <c r="DK137" s="52"/>
      <c r="DL137" s="43"/>
      <c r="DM137" s="50">
        <f t="shared" si="39"/>
        <v>3698.33</v>
      </c>
      <c r="DO137" s="52">
        <v>45</v>
      </c>
      <c r="DP137" s="43">
        <v>1.47</v>
      </c>
      <c r="DQ137" s="50">
        <f t="shared" si="40"/>
        <v>7837.590000000002</v>
      </c>
      <c r="DT137" s="52"/>
      <c r="DU137" s="43"/>
      <c r="DV137" s="50">
        <f t="shared" si="41"/>
        <v>518.19000000000005</v>
      </c>
      <c r="DX137" s="52"/>
      <c r="DY137" s="43"/>
      <c r="DZ137" s="53">
        <f t="shared" si="42"/>
        <v>367.43999999999994</v>
      </c>
      <c r="EB137" s="52"/>
      <c r="EC137" s="43"/>
      <c r="ED137" s="53">
        <f t="shared" si="43"/>
        <v>500</v>
      </c>
      <c r="EF137" s="52"/>
      <c r="EG137" s="43"/>
      <c r="EH137" s="53">
        <f t="shared" si="44"/>
        <v>1048.04</v>
      </c>
      <c r="EJ137" s="65"/>
      <c r="EK137" s="7"/>
      <c r="EL137" s="53">
        <f t="shared" si="45"/>
        <v>25.299999999999997</v>
      </c>
      <c r="EN137" s="51">
        <f t="shared" si="46"/>
        <v>-5786.2733333333217</v>
      </c>
      <c r="EP137" s="60">
        <f t="shared" si="47"/>
        <v>0</v>
      </c>
      <c r="EQ137" s="61">
        <f t="shared" si="48"/>
        <v>0</v>
      </c>
      <c r="ER137" s="15">
        <f t="shared" si="49"/>
        <v>0</v>
      </c>
      <c r="ES137" s="163">
        <f t="shared" si="34"/>
        <v>0</v>
      </c>
      <c r="EU137">
        <v>127</v>
      </c>
    </row>
    <row r="138" spans="1:151" x14ac:dyDescent="0.45">
      <c r="A138" s="67">
        <v>45560</v>
      </c>
      <c r="B138" s="25" t="s">
        <v>746</v>
      </c>
      <c r="C138" s="10" t="s">
        <v>824</v>
      </c>
      <c r="D138" s="7"/>
      <c r="E138" s="43">
        <v>45</v>
      </c>
      <c r="F138" s="43">
        <f>0.59+0.88</f>
        <v>1.47</v>
      </c>
      <c r="G138" s="16">
        <f t="shared" si="36"/>
        <v>14827.440000000015</v>
      </c>
      <c r="H138" s="64" t="s">
        <v>625</v>
      </c>
      <c r="I138" s="52"/>
      <c r="J138" s="43"/>
      <c r="K138" s="43"/>
      <c r="L138" s="43"/>
      <c r="M138" s="43"/>
      <c r="N138" s="43"/>
      <c r="O138" s="43"/>
      <c r="P138" s="43"/>
      <c r="Q138" s="43"/>
      <c r="R138" s="43"/>
      <c r="S138" s="43"/>
      <c r="T138" s="43"/>
      <c r="U138" s="43"/>
      <c r="V138" s="43"/>
      <c r="W138" s="43"/>
      <c r="X138" s="43"/>
      <c r="Y138" s="43"/>
      <c r="Z138" s="43">
        <v>45</v>
      </c>
      <c r="AA138" s="43"/>
      <c r="AB138" s="43"/>
      <c r="AC138" s="43"/>
      <c r="AD138" s="43"/>
      <c r="AE138" s="43"/>
      <c r="AF138" s="43"/>
      <c r="AG138" s="43"/>
      <c r="AH138" s="43"/>
      <c r="AI138" s="43"/>
      <c r="AJ138" s="43"/>
      <c r="AK138" s="43"/>
      <c r="AL138" s="43"/>
      <c r="AM138" s="43"/>
      <c r="AN138" s="43"/>
      <c r="AO138" s="43"/>
      <c r="AP138" s="43"/>
      <c r="AQ138" s="43"/>
      <c r="AR138" s="53"/>
      <c r="AS138" s="52"/>
      <c r="AT138" s="43"/>
      <c r="AU138" s="43"/>
      <c r="AV138" s="43"/>
      <c r="AW138" s="43"/>
      <c r="AX138" s="43"/>
      <c r="AY138" s="43"/>
      <c r="AZ138" s="43">
        <v>1.47</v>
      </c>
      <c r="BA138" s="43"/>
      <c r="BB138" s="43"/>
      <c r="BC138" s="43"/>
      <c r="BD138" s="43"/>
      <c r="BE138" s="43"/>
      <c r="BF138" s="43"/>
      <c r="BG138" s="43"/>
      <c r="BH138" s="43"/>
      <c r="BI138" s="43"/>
      <c r="BJ138" s="43"/>
      <c r="BK138" s="43"/>
      <c r="BL138" s="43"/>
      <c r="BM138" s="43"/>
      <c r="BN138" s="43"/>
      <c r="BO138" s="43"/>
      <c r="BP138" s="43"/>
      <c r="BQ138" s="43"/>
      <c r="BR138" s="43"/>
      <c r="BS138" s="43"/>
      <c r="BT138" s="43"/>
      <c r="BU138" s="43"/>
      <c r="BV138" s="43"/>
      <c r="BW138" s="53"/>
      <c r="BX138" s="30">
        <f t="shared" si="35"/>
        <v>0</v>
      </c>
      <c r="BY138" s="52"/>
      <c r="BZ138" s="43">
        <v>45</v>
      </c>
      <c r="CA138" s="43"/>
      <c r="CB138" s="43"/>
      <c r="CC138" s="43"/>
      <c r="CD138" s="43"/>
      <c r="CE138" s="43"/>
      <c r="CF138" s="43"/>
      <c r="CG138" s="53"/>
      <c r="CH138" s="52"/>
      <c r="CI138" s="43"/>
      <c r="CJ138" s="43"/>
      <c r="CK138" s="43"/>
      <c r="CL138" s="43"/>
      <c r="CM138" s="43"/>
      <c r="CN138" s="43"/>
      <c r="CO138" s="43"/>
      <c r="CP138" s="43"/>
      <c r="CQ138" s="43"/>
      <c r="CR138" s="43"/>
      <c r="CS138" s="43"/>
      <c r="CT138" s="43"/>
      <c r="CU138" s="43"/>
      <c r="CV138" s="43"/>
      <c r="CW138" s="43"/>
      <c r="CX138" s="43"/>
      <c r="CY138" s="43"/>
      <c r="CZ138" s="7"/>
      <c r="DA138" s="7"/>
      <c r="DB138" s="43">
        <v>1.47</v>
      </c>
      <c r="DC138" s="43"/>
      <c r="DD138" s="53"/>
      <c r="DE138" s="73">
        <f t="shared" si="37"/>
        <v>0</v>
      </c>
      <c r="DG138" s="52"/>
      <c r="DH138" s="43"/>
      <c r="DI138" s="50">
        <f t="shared" si="38"/>
        <v>6575.2933333333331</v>
      </c>
      <c r="DK138" s="52"/>
      <c r="DL138" s="43"/>
      <c r="DM138" s="50">
        <f t="shared" si="39"/>
        <v>3698.33</v>
      </c>
      <c r="DO138" s="52">
        <v>45</v>
      </c>
      <c r="DP138" s="43">
        <v>1.47</v>
      </c>
      <c r="DQ138" s="50">
        <f t="shared" si="40"/>
        <v>7881.1200000000017</v>
      </c>
      <c r="DT138" s="52"/>
      <c r="DU138" s="43"/>
      <c r="DV138" s="50">
        <f t="shared" si="41"/>
        <v>518.19000000000005</v>
      </c>
      <c r="DX138" s="52"/>
      <c r="DY138" s="43"/>
      <c r="DZ138" s="53">
        <f t="shared" si="42"/>
        <v>367.43999999999994</v>
      </c>
      <c r="EB138" s="52"/>
      <c r="EC138" s="43"/>
      <c r="ED138" s="53">
        <f t="shared" si="43"/>
        <v>500</v>
      </c>
      <c r="EF138" s="52"/>
      <c r="EG138" s="43"/>
      <c r="EH138" s="53">
        <f t="shared" si="44"/>
        <v>1048.04</v>
      </c>
      <c r="EJ138" s="65"/>
      <c r="EK138" s="7"/>
      <c r="EL138" s="53">
        <f t="shared" si="45"/>
        <v>25.299999999999997</v>
      </c>
      <c r="EN138" s="51">
        <f t="shared" si="46"/>
        <v>-5786.2733333333199</v>
      </c>
      <c r="EP138" s="60">
        <f t="shared" si="47"/>
        <v>0</v>
      </c>
      <c r="EQ138" s="61">
        <f t="shared" si="48"/>
        <v>0</v>
      </c>
      <c r="ER138" s="15">
        <f t="shared" si="49"/>
        <v>0</v>
      </c>
      <c r="ES138" s="62">
        <f t="shared" si="34"/>
        <v>0</v>
      </c>
      <c r="EU138" s="6">
        <v>128</v>
      </c>
    </row>
    <row r="139" spans="1:151" x14ac:dyDescent="0.45">
      <c r="A139" s="67">
        <v>45560</v>
      </c>
      <c r="B139" s="25" t="s">
        <v>747</v>
      </c>
      <c r="C139" s="10" t="s">
        <v>832</v>
      </c>
      <c r="D139" s="7"/>
      <c r="E139" s="43">
        <v>45</v>
      </c>
      <c r="F139" s="43">
        <v>1.47</v>
      </c>
      <c r="G139" s="16">
        <f t="shared" si="36"/>
        <v>14870.970000000016</v>
      </c>
      <c r="H139" s="64" t="s">
        <v>625</v>
      </c>
      <c r="I139" s="52"/>
      <c r="J139" s="43"/>
      <c r="K139" s="43"/>
      <c r="L139" s="43"/>
      <c r="M139" s="43"/>
      <c r="N139" s="43"/>
      <c r="O139" s="43"/>
      <c r="P139" s="43"/>
      <c r="Q139" s="43"/>
      <c r="R139" s="43"/>
      <c r="S139" s="43"/>
      <c r="T139" s="43"/>
      <c r="U139" s="43"/>
      <c r="V139" s="43"/>
      <c r="W139" s="43"/>
      <c r="X139" s="43">
        <v>45</v>
      </c>
      <c r="Y139" s="43"/>
      <c r="Z139" s="43"/>
      <c r="AA139" s="43"/>
      <c r="AB139" s="43"/>
      <c r="AC139" s="43"/>
      <c r="AD139" s="43"/>
      <c r="AE139" s="43"/>
      <c r="AF139" s="43"/>
      <c r="AG139" s="43"/>
      <c r="AH139" s="43"/>
      <c r="AI139" s="43"/>
      <c r="AJ139" s="43"/>
      <c r="AK139" s="43"/>
      <c r="AL139" s="43"/>
      <c r="AM139" s="43"/>
      <c r="AN139" s="43"/>
      <c r="AO139" s="43"/>
      <c r="AP139" s="43"/>
      <c r="AQ139" s="43"/>
      <c r="AR139" s="53"/>
      <c r="AS139" s="52"/>
      <c r="AT139" s="43"/>
      <c r="AU139" s="43"/>
      <c r="AV139" s="43"/>
      <c r="AW139" s="43"/>
      <c r="AX139" s="43">
        <v>1.47</v>
      </c>
      <c r="AY139" s="43"/>
      <c r="AZ139" s="43"/>
      <c r="BA139" s="43"/>
      <c r="BB139" s="43"/>
      <c r="BC139" s="43"/>
      <c r="BD139" s="43"/>
      <c r="BE139" s="43"/>
      <c r="BF139" s="43"/>
      <c r="BG139" s="43"/>
      <c r="BH139" s="43"/>
      <c r="BI139" s="43"/>
      <c r="BJ139" s="43"/>
      <c r="BK139" s="43"/>
      <c r="BL139" s="43"/>
      <c r="BM139" s="43"/>
      <c r="BN139" s="43"/>
      <c r="BO139" s="43"/>
      <c r="BP139" s="43"/>
      <c r="BQ139" s="43"/>
      <c r="BR139" s="43"/>
      <c r="BS139" s="43"/>
      <c r="BT139" s="43"/>
      <c r="BU139" s="43"/>
      <c r="BV139" s="43"/>
      <c r="BW139" s="53"/>
      <c r="BX139" s="30">
        <f t="shared" si="35"/>
        <v>0</v>
      </c>
      <c r="BY139" s="52"/>
      <c r="BZ139" s="43">
        <v>45</v>
      </c>
      <c r="CA139" s="43"/>
      <c r="CB139" s="43"/>
      <c r="CC139" s="43"/>
      <c r="CD139" s="43"/>
      <c r="CE139" s="43"/>
      <c r="CF139" s="43"/>
      <c r="CG139" s="53"/>
      <c r="CH139" s="52"/>
      <c r="CI139" s="43"/>
      <c r="CJ139" s="43"/>
      <c r="CK139" s="43"/>
      <c r="CL139" s="43"/>
      <c r="CM139" s="43"/>
      <c r="CN139" s="43"/>
      <c r="CO139" s="43"/>
      <c r="CP139" s="43"/>
      <c r="CQ139" s="43"/>
      <c r="CR139" s="43"/>
      <c r="CS139" s="43"/>
      <c r="CT139" s="43"/>
      <c r="CU139" s="43"/>
      <c r="CV139" s="43"/>
      <c r="CW139" s="43"/>
      <c r="CX139" s="43"/>
      <c r="CY139" s="43"/>
      <c r="CZ139" s="7"/>
      <c r="DA139" s="7"/>
      <c r="DB139" s="43">
        <v>1.47</v>
      </c>
      <c r="DC139" s="43"/>
      <c r="DD139" s="53"/>
      <c r="DE139" s="73">
        <f t="shared" si="37"/>
        <v>0</v>
      </c>
      <c r="DG139" s="52">
        <v>45</v>
      </c>
      <c r="DH139" s="43">
        <v>1.47</v>
      </c>
      <c r="DI139" s="50">
        <f t="shared" si="38"/>
        <v>6618.8233333333328</v>
      </c>
      <c r="DK139" s="52"/>
      <c r="DL139" s="43"/>
      <c r="DM139" s="50">
        <f t="shared" si="39"/>
        <v>3698.33</v>
      </c>
      <c r="DO139" s="52"/>
      <c r="DP139" s="43"/>
      <c r="DQ139" s="50">
        <f t="shared" si="40"/>
        <v>7881.1200000000017</v>
      </c>
      <c r="DT139" s="52"/>
      <c r="DU139" s="43"/>
      <c r="DV139" s="50">
        <f t="shared" si="41"/>
        <v>518.19000000000005</v>
      </c>
      <c r="DX139" s="52"/>
      <c r="DY139" s="43"/>
      <c r="DZ139" s="53">
        <f t="shared" si="42"/>
        <v>367.43999999999994</v>
      </c>
      <c r="EB139" s="52"/>
      <c r="EC139" s="43"/>
      <c r="ED139" s="53">
        <f t="shared" si="43"/>
        <v>500</v>
      </c>
      <c r="EF139" s="52"/>
      <c r="EG139" s="43"/>
      <c r="EH139" s="53">
        <f t="shared" si="44"/>
        <v>1048.04</v>
      </c>
      <c r="EJ139" s="65"/>
      <c r="EK139" s="7"/>
      <c r="EL139" s="53">
        <f t="shared" si="45"/>
        <v>25.299999999999997</v>
      </c>
      <c r="EN139" s="51">
        <f t="shared" si="46"/>
        <v>-5786.2733333333199</v>
      </c>
      <c r="EP139" s="60">
        <f t="shared" si="47"/>
        <v>0</v>
      </c>
      <c r="EQ139" s="61">
        <f t="shared" si="48"/>
        <v>0</v>
      </c>
      <c r="ER139" s="15">
        <f t="shared" si="49"/>
        <v>0</v>
      </c>
      <c r="ES139" s="163">
        <f t="shared" si="34"/>
        <v>0</v>
      </c>
      <c r="EU139">
        <v>129</v>
      </c>
    </row>
    <row r="140" spans="1:151" x14ac:dyDescent="0.45">
      <c r="A140" s="67">
        <v>45561</v>
      </c>
      <c r="B140" s="6" t="s">
        <v>746</v>
      </c>
      <c r="C140" s="3" t="s">
        <v>825</v>
      </c>
      <c r="D140" s="7"/>
      <c r="E140" s="43">
        <v>45</v>
      </c>
      <c r="F140" s="43">
        <v>1.47</v>
      </c>
      <c r="G140" s="16">
        <f t="shared" si="36"/>
        <v>14914.500000000016</v>
      </c>
      <c r="H140" s="64" t="s">
        <v>625</v>
      </c>
      <c r="I140" s="52"/>
      <c r="J140" s="43"/>
      <c r="K140" s="43"/>
      <c r="L140" s="43"/>
      <c r="M140" s="43"/>
      <c r="N140" s="43"/>
      <c r="O140" s="43"/>
      <c r="P140" s="43"/>
      <c r="Q140" s="43"/>
      <c r="R140" s="43"/>
      <c r="S140" s="43"/>
      <c r="T140" s="43"/>
      <c r="U140" s="43"/>
      <c r="V140" s="43"/>
      <c r="W140" s="43"/>
      <c r="X140" s="43"/>
      <c r="Y140" s="43"/>
      <c r="Z140" s="43">
        <v>45</v>
      </c>
      <c r="AA140" s="43"/>
      <c r="AB140" s="43"/>
      <c r="AC140" s="43"/>
      <c r="AD140" s="43"/>
      <c r="AE140" s="43"/>
      <c r="AF140" s="43"/>
      <c r="AG140" s="43"/>
      <c r="AH140" s="43"/>
      <c r="AI140" s="43"/>
      <c r="AJ140" s="43"/>
      <c r="AK140" s="43"/>
      <c r="AL140" s="43"/>
      <c r="AM140" s="43"/>
      <c r="AN140" s="43"/>
      <c r="AO140" s="43"/>
      <c r="AP140" s="43"/>
      <c r="AQ140" s="43"/>
      <c r="AR140" s="53"/>
      <c r="AS140" s="52"/>
      <c r="AT140" s="43"/>
      <c r="AU140" s="43"/>
      <c r="AV140" s="43"/>
      <c r="AW140" s="43"/>
      <c r="AX140" s="43"/>
      <c r="AY140" s="43"/>
      <c r="AZ140" s="43">
        <v>1.47</v>
      </c>
      <c r="BA140" s="43"/>
      <c r="BB140" s="43"/>
      <c r="BC140" s="43"/>
      <c r="BD140" s="43"/>
      <c r="BE140" s="43"/>
      <c r="BF140" s="43"/>
      <c r="BG140" s="43"/>
      <c r="BH140" s="43"/>
      <c r="BI140" s="43"/>
      <c r="BJ140" s="43"/>
      <c r="BK140" s="43"/>
      <c r="BL140" s="43"/>
      <c r="BM140" s="43"/>
      <c r="BN140" s="43"/>
      <c r="BO140" s="43"/>
      <c r="BP140" s="43"/>
      <c r="BQ140" s="43"/>
      <c r="BR140" s="43"/>
      <c r="BS140" s="43"/>
      <c r="BT140" s="43"/>
      <c r="BU140" s="43"/>
      <c r="BV140" s="43"/>
      <c r="BW140" s="53"/>
      <c r="BX140" s="30">
        <f t="shared" si="35"/>
        <v>0</v>
      </c>
      <c r="BY140" s="52"/>
      <c r="BZ140" s="43">
        <v>45</v>
      </c>
      <c r="CA140" s="43"/>
      <c r="CB140" s="43"/>
      <c r="CC140" s="43"/>
      <c r="CD140" s="43"/>
      <c r="CE140" s="43"/>
      <c r="CF140" s="43"/>
      <c r="CG140" s="53"/>
      <c r="CH140" s="52"/>
      <c r="CI140" s="43"/>
      <c r="CJ140" s="43"/>
      <c r="CK140" s="43"/>
      <c r="CL140" s="43"/>
      <c r="CM140" s="43"/>
      <c r="CN140" s="43"/>
      <c r="CO140" s="43"/>
      <c r="CP140" s="43"/>
      <c r="CQ140" s="43"/>
      <c r="CR140" s="43"/>
      <c r="CS140" s="43"/>
      <c r="CT140" s="43"/>
      <c r="CU140" s="43"/>
      <c r="CV140" s="43"/>
      <c r="CW140" s="43"/>
      <c r="CX140" s="43"/>
      <c r="CY140" s="43"/>
      <c r="CZ140" s="7"/>
      <c r="DA140" s="7"/>
      <c r="DB140" s="43">
        <v>1.47</v>
      </c>
      <c r="DC140" s="43"/>
      <c r="DD140" s="53"/>
      <c r="DE140" s="73">
        <f t="shared" si="37"/>
        <v>0</v>
      </c>
      <c r="DG140" s="52"/>
      <c r="DH140" s="43"/>
      <c r="DI140" s="50">
        <f t="shared" si="38"/>
        <v>6618.8233333333328</v>
      </c>
      <c r="DK140" s="52"/>
      <c r="DL140" s="43"/>
      <c r="DM140" s="50">
        <f t="shared" si="39"/>
        <v>3698.33</v>
      </c>
      <c r="DO140" s="52">
        <v>45</v>
      </c>
      <c r="DP140" s="43">
        <v>1.47</v>
      </c>
      <c r="DQ140" s="50">
        <f t="shared" si="40"/>
        <v>7924.6500000000015</v>
      </c>
      <c r="DT140" s="52"/>
      <c r="DU140" s="43"/>
      <c r="DV140" s="50">
        <f t="shared" si="41"/>
        <v>518.19000000000005</v>
      </c>
      <c r="DX140" s="52"/>
      <c r="DY140" s="43"/>
      <c r="DZ140" s="53">
        <f t="shared" si="42"/>
        <v>367.43999999999994</v>
      </c>
      <c r="EB140" s="52"/>
      <c r="EC140" s="43"/>
      <c r="ED140" s="53">
        <f t="shared" si="43"/>
        <v>500</v>
      </c>
      <c r="EF140" s="52"/>
      <c r="EG140" s="43"/>
      <c r="EH140" s="53">
        <f t="shared" si="44"/>
        <v>1048.04</v>
      </c>
      <c r="EJ140" s="65"/>
      <c r="EK140" s="7"/>
      <c r="EL140" s="53">
        <f t="shared" si="45"/>
        <v>25.299999999999997</v>
      </c>
      <c r="EN140" s="51">
        <f t="shared" si="46"/>
        <v>-5786.2733333333181</v>
      </c>
      <c r="EP140" s="60">
        <f t="shared" si="47"/>
        <v>0</v>
      </c>
      <c r="EQ140" s="61">
        <f t="shared" si="48"/>
        <v>0</v>
      </c>
      <c r="ER140" s="15">
        <f t="shared" si="49"/>
        <v>0</v>
      </c>
      <c r="ES140" s="62">
        <f t="shared" si="34"/>
        <v>0</v>
      </c>
      <c r="EU140" s="6">
        <v>130</v>
      </c>
    </row>
    <row r="141" spans="1:151" x14ac:dyDescent="0.45">
      <c r="A141" s="67">
        <v>45562</v>
      </c>
      <c r="B141" s="25" t="s">
        <v>745</v>
      </c>
      <c r="C141" s="10" t="s">
        <v>840</v>
      </c>
      <c r="D141" s="7"/>
      <c r="E141" s="43">
        <v>45</v>
      </c>
      <c r="F141" s="43">
        <v>1.47</v>
      </c>
      <c r="G141" s="16">
        <f t="shared" si="36"/>
        <v>14958.030000000017</v>
      </c>
      <c r="H141" s="64" t="s">
        <v>625</v>
      </c>
      <c r="I141" s="52"/>
      <c r="J141" s="43"/>
      <c r="K141" s="43"/>
      <c r="L141" s="43"/>
      <c r="M141" s="43"/>
      <c r="N141" s="43"/>
      <c r="O141" s="43"/>
      <c r="P141" s="43"/>
      <c r="Q141" s="43"/>
      <c r="R141" s="43"/>
      <c r="S141" s="43"/>
      <c r="T141" s="43"/>
      <c r="U141" s="43"/>
      <c r="V141" s="43"/>
      <c r="W141" s="43"/>
      <c r="X141" s="43"/>
      <c r="Y141" s="43">
        <v>45</v>
      </c>
      <c r="Z141" s="43"/>
      <c r="AA141" s="43"/>
      <c r="AB141" s="43"/>
      <c r="AC141" s="43"/>
      <c r="AD141" s="43"/>
      <c r="AE141" s="43"/>
      <c r="AF141" s="43"/>
      <c r="AG141" s="43"/>
      <c r="AH141" s="43"/>
      <c r="AI141" s="43"/>
      <c r="AJ141" s="43"/>
      <c r="AK141" s="43"/>
      <c r="AL141" s="43"/>
      <c r="AM141" s="43"/>
      <c r="AN141" s="43"/>
      <c r="AO141" s="43"/>
      <c r="AP141" s="43"/>
      <c r="AQ141" s="43"/>
      <c r="AR141" s="53"/>
      <c r="AS141" s="52"/>
      <c r="AT141" s="43"/>
      <c r="AU141" s="43"/>
      <c r="AV141" s="43"/>
      <c r="AW141" s="43"/>
      <c r="AX141" s="43"/>
      <c r="AY141" s="43">
        <v>1.47</v>
      </c>
      <c r="AZ141" s="43"/>
      <c r="BA141" s="43"/>
      <c r="BB141" s="43"/>
      <c r="BC141" s="43"/>
      <c r="BD141" s="43"/>
      <c r="BE141" s="43"/>
      <c r="BF141" s="43"/>
      <c r="BG141" s="43"/>
      <c r="BH141" s="43"/>
      <c r="BI141" s="43"/>
      <c r="BJ141" s="43"/>
      <c r="BK141" s="43"/>
      <c r="BL141" s="43"/>
      <c r="BM141" s="43"/>
      <c r="BN141" s="43"/>
      <c r="BO141" s="43"/>
      <c r="BP141" s="43"/>
      <c r="BQ141" s="43"/>
      <c r="BR141" s="43"/>
      <c r="BS141" s="43"/>
      <c r="BT141" s="43"/>
      <c r="BU141" s="43"/>
      <c r="BV141" s="43"/>
      <c r="BW141" s="53"/>
      <c r="BX141" s="30">
        <f t="shared" si="35"/>
        <v>0</v>
      </c>
      <c r="BY141" s="52"/>
      <c r="BZ141" s="43">
        <v>45</v>
      </c>
      <c r="CA141" s="43"/>
      <c r="CB141" s="43"/>
      <c r="CC141" s="43"/>
      <c r="CD141" s="43"/>
      <c r="CE141" s="43"/>
      <c r="CF141" s="43"/>
      <c r="CG141" s="53"/>
      <c r="CH141" s="52"/>
      <c r="CI141" s="43"/>
      <c r="CJ141" s="43"/>
      <c r="CK141" s="43"/>
      <c r="CL141" s="43"/>
      <c r="CM141" s="43"/>
      <c r="CN141" s="43"/>
      <c r="CO141" s="43"/>
      <c r="CP141" s="43"/>
      <c r="CQ141" s="43"/>
      <c r="CR141" s="43"/>
      <c r="CS141" s="43"/>
      <c r="CT141" s="43"/>
      <c r="CU141" s="43"/>
      <c r="CV141" s="43"/>
      <c r="CW141" s="43"/>
      <c r="CX141" s="43"/>
      <c r="CY141" s="43"/>
      <c r="CZ141" s="7"/>
      <c r="DA141" s="7"/>
      <c r="DB141" s="43">
        <v>1.47</v>
      </c>
      <c r="DC141" s="43"/>
      <c r="DD141" s="53"/>
      <c r="DE141" s="73">
        <f t="shared" si="37"/>
        <v>0</v>
      </c>
      <c r="DG141" s="52"/>
      <c r="DH141" s="43"/>
      <c r="DI141" s="50">
        <f t="shared" si="38"/>
        <v>6618.8233333333328</v>
      </c>
      <c r="DK141" s="52">
        <v>45</v>
      </c>
      <c r="DL141" s="43">
        <v>1.47</v>
      </c>
      <c r="DM141" s="50">
        <f t="shared" si="39"/>
        <v>3741.86</v>
      </c>
      <c r="DO141" s="52"/>
      <c r="DP141" s="43"/>
      <c r="DQ141" s="50">
        <f t="shared" si="40"/>
        <v>7924.6500000000015</v>
      </c>
      <c r="DT141" s="52"/>
      <c r="DU141" s="43"/>
      <c r="DV141" s="50">
        <f t="shared" si="41"/>
        <v>518.19000000000005</v>
      </c>
      <c r="DX141" s="52"/>
      <c r="DY141" s="43"/>
      <c r="DZ141" s="53">
        <f t="shared" si="42"/>
        <v>367.43999999999994</v>
      </c>
      <c r="EB141" s="52"/>
      <c r="EC141" s="43"/>
      <c r="ED141" s="53">
        <f t="shared" si="43"/>
        <v>500</v>
      </c>
      <c r="EF141" s="52"/>
      <c r="EG141" s="43"/>
      <c r="EH141" s="53">
        <f t="shared" si="44"/>
        <v>1048.04</v>
      </c>
      <c r="EJ141" s="65"/>
      <c r="EK141" s="7"/>
      <c r="EL141" s="53">
        <f t="shared" si="45"/>
        <v>25.299999999999997</v>
      </c>
      <c r="EN141" s="51">
        <f t="shared" si="46"/>
        <v>-5786.2733333333199</v>
      </c>
      <c r="EP141" s="60">
        <f t="shared" si="47"/>
        <v>0</v>
      </c>
      <c r="EQ141" s="61">
        <f t="shared" si="48"/>
        <v>0</v>
      </c>
      <c r="ER141" s="15">
        <f t="shared" si="49"/>
        <v>0</v>
      </c>
      <c r="ES141" s="163">
        <f t="shared" si="34"/>
        <v>0</v>
      </c>
      <c r="EU141">
        <v>131</v>
      </c>
    </row>
    <row r="142" spans="1:151" x14ac:dyDescent="0.45">
      <c r="A142" s="67">
        <v>45562</v>
      </c>
      <c r="B142" s="25" t="s">
        <v>747</v>
      </c>
      <c r="C142" s="10" t="s">
        <v>833</v>
      </c>
      <c r="D142" s="7"/>
      <c r="E142" s="43">
        <v>45</v>
      </c>
      <c r="F142" s="43">
        <v>1.47</v>
      </c>
      <c r="G142" s="16">
        <f t="shared" si="36"/>
        <v>15001.560000000018</v>
      </c>
      <c r="H142" s="64" t="s">
        <v>625</v>
      </c>
      <c r="I142" s="52"/>
      <c r="J142" s="43"/>
      <c r="K142" s="43"/>
      <c r="L142" s="43"/>
      <c r="M142" s="43"/>
      <c r="N142" s="43"/>
      <c r="O142" s="43"/>
      <c r="P142" s="43"/>
      <c r="Q142" s="43"/>
      <c r="R142" s="43"/>
      <c r="S142" s="43"/>
      <c r="T142" s="43"/>
      <c r="U142" s="43"/>
      <c r="V142" s="43"/>
      <c r="W142" s="43"/>
      <c r="X142" s="43">
        <v>45</v>
      </c>
      <c r="Y142" s="43"/>
      <c r="Z142" s="43"/>
      <c r="AA142" s="43"/>
      <c r="AB142" s="43"/>
      <c r="AC142" s="43"/>
      <c r="AD142" s="43"/>
      <c r="AE142" s="43"/>
      <c r="AF142" s="43"/>
      <c r="AG142" s="43"/>
      <c r="AH142" s="43"/>
      <c r="AI142" s="43"/>
      <c r="AJ142" s="43"/>
      <c r="AK142" s="43"/>
      <c r="AL142" s="43"/>
      <c r="AM142" s="43"/>
      <c r="AN142" s="43"/>
      <c r="AO142" s="43"/>
      <c r="AP142" s="43"/>
      <c r="AQ142" s="43"/>
      <c r="AR142" s="53"/>
      <c r="AS142" s="52"/>
      <c r="AT142" s="43"/>
      <c r="AU142" s="43"/>
      <c r="AV142" s="43"/>
      <c r="AW142" s="43"/>
      <c r="AX142" s="43">
        <v>1.47</v>
      </c>
      <c r="AY142" s="43"/>
      <c r="AZ142" s="43"/>
      <c r="BA142" s="43"/>
      <c r="BB142" s="43"/>
      <c r="BC142" s="43"/>
      <c r="BD142" s="43"/>
      <c r="BE142" s="43"/>
      <c r="BF142" s="43"/>
      <c r="BG142" s="43"/>
      <c r="BH142" s="43"/>
      <c r="BI142" s="43"/>
      <c r="BJ142" s="43"/>
      <c r="BK142" s="43"/>
      <c r="BL142" s="43"/>
      <c r="BM142" s="43"/>
      <c r="BN142" s="43"/>
      <c r="BO142" s="43"/>
      <c r="BP142" s="43"/>
      <c r="BQ142" s="43"/>
      <c r="BR142" s="43"/>
      <c r="BS142" s="43"/>
      <c r="BT142" s="43"/>
      <c r="BU142" s="43"/>
      <c r="BV142" s="43"/>
      <c r="BW142" s="53"/>
      <c r="BX142" s="30">
        <f t="shared" si="35"/>
        <v>0</v>
      </c>
      <c r="BY142" s="52"/>
      <c r="BZ142" s="43">
        <v>45</v>
      </c>
      <c r="CA142" s="43"/>
      <c r="CB142" s="43"/>
      <c r="CC142" s="43"/>
      <c r="CD142" s="43"/>
      <c r="CE142" s="43"/>
      <c r="CF142" s="43"/>
      <c r="CG142" s="53"/>
      <c r="CH142" s="52"/>
      <c r="CI142" s="43"/>
      <c r="CJ142" s="43"/>
      <c r="CK142" s="43"/>
      <c r="CL142" s="43"/>
      <c r="CM142" s="43"/>
      <c r="CN142" s="43"/>
      <c r="CO142" s="43"/>
      <c r="CP142" s="43"/>
      <c r="CQ142" s="43"/>
      <c r="CR142" s="43"/>
      <c r="CS142" s="43"/>
      <c r="CT142" s="43"/>
      <c r="CU142" s="43"/>
      <c r="CV142" s="43"/>
      <c r="CW142" s="43"/>
      <c r="CX142" s="43"/>
      <c r="CY142" s="43"/>
      <c r="CZ142" s="7"/>
      <c r="DA142" s="7"/>
      <c r="DB142" s="43">
        <v>1.47</v>
      </c>
      <c r="DC142" s="43"/>
      <c r="DD142" s="53"/>
      <c r="DE142" s="73">
        <f t="shared" si="37"/>
        <v>0</v>
      </c>
      <c r="DG142" s="52">
        <v>45</v>
      </c>
      <c r="DH142" s="43">
        <v>1.47</v>
      </c>
      <c r="DI142" s="50">
        <f t="shared" si="38"/>
        <v>6662.3533333333326</v>
      </c>
      <c r="DK142" s="52"/>
      <c r="DL142" s="43"/>
      <c r="DM142" s="50">
        <f t="shared" si="39"/>
        <v>3741.86</v>
      </c>
      <c r="DO142" s="52"/>
      <c r="DP142" s="43"/>
      <c r="DQ142" s="50">
        <f t="shared" si="40"/>
        <v>7924.6500000000015</v>
      </c>
      <c r="DT142" s="52"/>
      <c r="DU142" s="43"/>
      <c r="DV142" s="50">
        <f t="shared" si="41"/>
        <v>518.19000000000005</v>
      </c>
      <c r="DX142" s="52"/>
      <c r="DY142" s="43"/>
      <c r="DZ142" s="53">
        <f t="shared" si="42"/>
        <v>367.43999999999994</v>
      </c>
      <c r="EB142" s="52"/>
      <c r="EC142" s="43"/>
      <c r="ED142" s="53">
        <f t="shared" si="43"/>
        <v>500</v>
      </c>
      <c r="EF142" s="52"/>
      <c r="EG142" s="43"/>
      <c r="EH142" s="53">
        <f t="shared" si="44"/>
        <v>1048.04</v>
      </c>
      <c r="EJ142" s="65"/>
      <c r="EK142" s="7"/>
      <c r="EL142" s="53">
        <f t="shared" si="45"/>
        <v>25.299999999999997</v>
      </c>
      <c r="EN142" s="51">
        <f t="shared" si="46"/>
        <v>-5786.2733333333181</v>
      </c>
      <c r="EP142" s="60">
        <f t="shared" si="47"/>
        <v>0</v>
      </c>
      <c r="EQ142" s="61">
        <f t="shared" si="48"/>
        <v>0</v>
      </c>
      <c r="ER142" s="15">
        <f t="shared" si="49"/>
        <v>0</v>
      </c>
      <c r="ES142" s="62">
        <f t="shared" si="34"/>
        <v>0</v>
      </c>
      <c r="EU142" s="6">
        <v>132</v>
      </c>
    </row>
    <row r="143" spans="1:151" x14ac:dyDescent="0.45">
      <c r="A143" s="67">
        <v>45562</v>
      </c>
      <c r="B143" s="25" t="s">
        <v>742</v>
      </c>
      <c r="C143" s="10" t="s">
        <v>838</v>
      </c>
      <c r="D143" s="7"/>
      <c r="E143" s="43">
        <v>135</v>
      </c>
      <c r="F143" s="43">
        <v>4.41</v>
      </c>
      <c r="G143" s="16">
        <f t="shared" si="36"/>
        <v>15132.150000000018</v>
      </c>
      <c r="H143" s="64" t="s">
        <v>625</v>
      </c>
      <c r="I143" s="52"/>
      <c r="J143" s="43"/>
      <c r="K143" s="43"/>
      <c r="L143" s="43"/>
      <c r="M143" s="43"/>
      <c r="N143" s="43"/>
      <c r="O143" s="43"/>
      <c r="P143" s="43"/>
      <c r="Q143" s="43"/>
      <c r="R143" s="43"/>
      <c r="S143" s="43"/>
      <c r="T143" s="43"/>
      <c r="U143" s="43"/>
      <c r="V143" s="43"/>
      <c r="W143" s="43"/>
      <c r="X143" s="43"/>
      <c r="Y143" s="43"/>
      <c r="Z143" s="43">
        <v>135</v>
      </c>
      <c r="AA143" s="43"/>
      <c r="AB143" s="43"/>
      <c r="AC143" s="43"/>
      <c r="AD143" s="43"/>
      <c r="AE143" s="43"/>
      <c r="AF143" s="43"/>
      <c r="AG143" s="43"/>
      <c r="AH143" s="43"/>
      <c r="AI143" s="43"/>
      <c r="AJ143" s="43"/>
      <c r="AK143" s="43"/>
      <c r="AL143" s="43"/>
      <c r="AM143" s="43"/>
      <c r="AN143" s="43"/>
      <c r="AO143" s="43"/>
      <c r="AP143" s="43"/>
      <c r="AQ143" s="43"/>
      <c r="AR143" s="53"/>
      <c r="AS143" s="52"/>
      <c r="AT143" s="43"/>
      <c r="AU143" s="43"/>
      <c r="AV143" s="43"/>
      <c r="AW143" s="43"/>
      <c r="AX143" s="43"/>
      <c r="AY143" s="43"/>
      <c r="AZ143" s="43">
        <v>4.41</v>
      </c>
      <c r="BA143" s="43"/>
      <c r="BB143" s="43"/>
      <c r="BC143" s="43"/>
      <c r="BD143" s="43"/>
      <c r="BE143" s="43"/>
      <c r="BF143" s="43"/>
      <c r="BG143" s="43"/>
      <c r="BH143" s="43"/>
      <c r="BI143" s="43"/>
      <c r="BJ143" s="43"/>
      <c r="BK143" s="43"/>
      <c r="BL143" s="43"/>
      <c r="BM143" s="43"/>
      <c r="BN143" s="43"/>
      <c r="BO143" s="43"/>
      <c r="BP143" s="43"/>
      <c r="BQ143" s="43"/>
      <c r="BR143" s="43"/>
      <c r="BS143" s="43"/>
      <c r="BT143" s="43"/>
      <c r="BU143" s="43"/>
      <c r="BV143" s="43"/>
      <c r="BW143" s="53"/>
      <c r="BX143" s="30">
        <f t="shared" si="35"/>
        <v>0</v>
      </c>
      <c r="BY143" s="52"/>
      <c r="BZ143" s="43">
        <v>135</v>
      </c>
      <c r="CA143" s="43"/>
      <c r="CB143" s="43"/>
      <c r="CC143" s="43"/>
      <c r="CD143" s="43"/>
      <c r="CE143" s="43"/>
      <c r="CF143" s="43"/>
      <c r="CG143" s="53"/>
      <c r="CH143" s="52"/>
      <c r="CI143" s="43"/>
      <c r="CJ143" s="43"/>
      <c r="CK143" s="43"/>
      <c r="CL143" s="43"/>
      <c r="CM143" s="43"/>
      <c r="CN143" s="43"/>
      <c r="CO143" s="43"/>
      <c r="CP143" s="43"/>
      <c r="CQ143" s="43"/>
      <c r="CR143" s="43"/>
      <c r="CS143" s="43"/>
      <c r="CT143" s="43"/>
      <c r="CU143" s="43"/>
      <c r="CV143" s="43"/>
      <c r="CW143" s="43"/>
      <c r="CX143" s="43"/>
      <c r="CY143" s="43"/>
      <c r="CZ143" s="7"/>
      <c r="DA143" s="7"/>
      <c r="DB143" s="43">
        <v>4.41</v>
      </c>
      <c r="DC143" s="43"/>
      <c r="DD143" s="53"/>
      <c r="DE143" s="73">
        <f t="shared" si="37"/>
        <v>0</v>
      </c>
      <c r="DG143" s="52"/>
      <c r="DH143" s="43"/>
      <c r="DI143" s="50">
        <f t="shared" si="38"/>
        <v>6662.3533333333326</v>
      </c>
      <c r="DK143" s="52"/>
      <c r="DL143" s="43"/>
      <c r="DM143" s="50">
        <f t="shared" si="39"/>
        <v>3741.86</v>
      </c>
      <c r="DO143" s="52">
        <v>135</v>
      </c>
      <c r="DP143" s="43">
        <v>4.41</v>
      </c>
      <c r="DQ143" s="53">
        <f t="shared" si="40"/>
        <v>8055.2400000000016</v>
      </c>
      <c r="DT143" s="52"/>
      <c r="DU143" s="43"/>
      <c r="DV143" s="50">
        <f t="shared" si="41"/>
        <v>518.19000000000005</v>
      </c>
      <c r="DX143" s="52"/>
      <c r="DY143" s="43"/>
      <c r="DZ143" s="53">
        <f t="shared" si="42"/>
        <v>367.43999999999994</v>
      </c>
      <c r="EB143" s="52"/>
      <c r="EC143" s="43"/>
      <c r="ED143" s="53">
        <f t="shared" si="43"/>
        <v>500</v>
      </c>
      <c r="EF143" s="52"/>
      <c r="EG143" s="43"/>
      <c r="EH143" s="53">
        <f t="shared" si="44"/>
        <v>1048.04</v>
      </c>
      <c r="EJ143" s="65"/>
      <c r="EK143" s="7"/>
      <c r="EL143" s="53">
        <f t="shared" si="45"/>
        <v>25.299999999999997</v>
      </c>
      <c r="EN143" s="51">
        <f t="shared" si="46"/>
        <v>-5786.2733333333181</v>
      </c>
      <c r="EP143" s="60">
        <f t="shared" si="47"/>
        <v>0</v>
      </c>
      <c r="EQ143" s="61">
        <f t="shared" si="48"/>
        <v>0</v>
      </c>
      <c r="ER143" s="15">
        <f t="shared" si="49"/>
        <v>0</v>
      </c>
      <c r="ES143" s="163">
        <f t="shared" si="34"/>
        <v>0</v>
      </c>
      <c r="EU143">
        <v>133</v>
      </c>
    </row>
    <row r="144" spans="1:151" x14ac:dyDescent="0.45">
      <c r="A144" s="67">
        <v>45562</v>
      </c>
      <c r="B144" s="25" t="s">
        <v>746</v>
      </c>
      <c r="C144" s="10" t="s">
        <v>826</v>
      </c>
      <c r="D144" s="7"/>
      <c r="E144" s="43">
        <v>45</v>
      </c>
      <c r="F144" s="43">
        <v>1.47</v>
      </c>
      <c r="G144" s="16">
        <f t="shared" si="36"/>
        <v>15175.680000000018</v>
      </c>
      <c r="H144" s="64" t="s">
        <v>625</v>
      </c>
      <c r="I144" s="52"/>
      <c r="J144" s="43"/>
      <c r="K144" s="43"/>
      <c r="L144" s="43"/>
      <c r="M144" s="43"/>
      <c r="N144" s="43"/>
      <c r="O144" s="43"/>
      <c r="P144" s="43"/>
      <c r="Q144" s="43"/>
      <c r="R144" s="43"/>
      <c r="S144" s="43"/>
      <c r="T144" s="43"/>
      <c r="U144" s="43"/>
      <c r="V144" s="43"/>
      <c r="W144" s="43"/>
      <c r="X144" s="43"/>
      <c r="Y144" s="43"/>
      <c r="Z144" s="43">
        <v>45</v>
      </c>
      <c r="AA144" s="43"/>
      <c r="AB144" s="43"/>
      <c r="AC144" s="43"/>
      <c r="AD144" s="43"/>
      <c r="AE144" s="43"/>
      <c r="AF144" s="43"/>
      <c r="AG144" s="43"/>
      <c r="AH144" s="43"/>
      <c r="AI144" s="43"/>
      <c r="AJ144" s="43"/>
      <c r="AK144" s="43"/>
      <c r="AL144" s="43"/>
      <c r="AM144" s="43"/>
      <c r="AN144" s="43"/>
      <c r="AO144" s="43"/>
      <c r="AP144" s="43"/>
      <c r="AQ144" s="43"/>
      <c r="AR144" s="53"/>
      <c r="AS144" s="52"/>
      <c r="AT144" s="43"/>
      <c r="AU144" s="43"/>
      <c r="AV144" s="43"/>
      <c r="AW144" s="43"/>
      <c r="AX144" s="43"/>
      <c r="AY144" s="43"/>
      <c r="AZ144" s="43">
        <v>1.47</v>
      </c>
      <c r="BA144" s="43"/>
      <c r="BB144" s="43"/>
      <c r="BC144" s="43"/>
      <c r="BD144" s="43"/>
      <c r="BE144" s="43"/>
      <c r="BF144" s="43"/>
      <c r="BG144" s="43"/>
      <c r="BH144" s="43"/>
      <c r="BI144" s="43"/>
      <c r="BJ144" s="43"/>
      <c r="BK144" s="43"/>
      <c r="BL144" s="43"/>
      <c r="BM144" s="43"/>
      <c r="BN144" s="43"/>
      <c r="BO144" s="43"/>
      <c r="BP144" s="43"/>
      <c r="BQ144" s="43"/>
      <c r="BR144" s="43"/>
      <c r="BS144" s="43"/>
      <c r="BT144" s="43"/>
      <c r="BU144" s="43"/>
      <c r="BV144" s="43"/>
      <c r="BW144" s="53"/>
      <c r="BX144" s="30">
        <f t="shared" si="35"/>
        <v>0</v>
      </c>
      <c r="BY144" s="52"/>
      <c r="BZ144" s="43">
        <v>45</v>
      </c>
      <c r="CA144" s="43"/>
      <c r="CB144" s="43"/>
      <c r="CC144" s="43"/>
      <c r="CD144" s="43"/>
      <c r="CE144" s="43"/>
      <c r="CF144" s="43"/>
      <c r="CG144" s="53"/>
      <c r="CH144" s="52"/>
      <c r="CI144" s="43"/>
      <c r="CJ144" s="43"/>
      <c r="CK144" s="43"/>
      <c r="CL144" s="43"/>
      <c r="CM144" s="43"/>
      <c r="CN144" s="43"/>
      <c r="CO144" s="43"/>
      <c r="CP144" s="43"/>
      <c r="CQ144" s="43"/>
      <c r="CR144" s="43"/>
      <c r="CS144" s="43"/>
      <c r="CT144" s="43"/>
      <c r="CU144" s="43"/>
      <c r="CV144" s="43"/>
      <c r="CW144" s="43"/>
      <c r="CX144" s="43"/>
      <c r="CY144" s="43"/>
      <c r="CZ144" s="7"/>
      <c r="DA144" s="7"/>
      <c r="DB144" s="43">
        <v>1.47</v>
      </c>
      <c r="DC144" s="43"/>
      <c r="DD144" s="53"/>
      <c r="DE144" s="73">
        <f t="shared" si="37"/>
        <v>0</v>
      </c>
      <c r="DG144" s="52"/>
      <c r="DH144" s="43"/>
      <c r="DI144" s="50">
        <f t="shared" si="38"/>
        <v>6662.3533333333326</v>
      </c>
      <c r="DK144" s="52"/>
      <c r="DL144" s="43"/>
      <c r="DM144" s="53">
        <f t="shared" si="39"/>
        <v>3741.86</v>
      </c>
      <c r="DO144" s="52">
        <v>45</v>
      </c>
      <c r="DP144" s="43">
        <v>1.47</v>
      </c>
      <c r="DQ144" s="50">
        <f t="shared" si="40"/>
        <v>8098.7700000000013</v>
      </c>
      <c r="DT144" s="52"/>
      <c r="DU144" s="43"/>
      <c r="DV144" s="50">
        <f t="shared" si="41"/>
        <v>518.19000000000005</v>
      </c>
      <c r="DX144" s="52"/>
      <c r="DY144" s="43"/>
      <c r="DZ144" s="53">
        <f t="shared" si="42"/>
        <v>367.43999999999994</v>
      </c>
      <c r="EB144" s="52"/>
      <c r="EC144" s="43"/>
      <c r="ED144" s="53">
        <f t="shared" si="43"/>
        <v>500</v>
      </c>
      <c r="EF144" s="52"/>
      <c r="EG144" s="43"/>
      <c r="EH144" s="53">
        <f t="shared" si="44"/>
        <v>1048.04</v>
      </c>
      <c r="EJ144" s="65"/>
      <c r="EK144" s="7"/>
      <c r="EL144" s="53">
        <f t="shared" si="45"/>
        <v>25.299999999999997</v>
      </c>
      <c r="EN144" s="51">
        <f t="shared" si="46"/>
        <v>-5786.2733333333163</v>
      </c>
      <c r="EP144" s="60">
        <f t="shared" si="47"/>
        <v>0</v>
      </c>
      <c r="EQ144" s="61">
        <f t="shared" si="48"/>
        <v>0</v>
      </c>
      <c r="ER144" s="15">
        <f t="shared" si="49"/>
        <v>0</v>
      </c>
      <c r="ES144" s="62">
        <f t="shared" si="34"/>
        <v>0</v>
      </c>
      <c r="EU144" s="6">
        <v>134</v>
      </c>
    </row>
    <row r="145" spans="1:151" x14ac:dyDescent="0.45">
      <c r="A145" s="67">
        <v>45565</v>
      </c>
      <c r="B145" s="25" t="s">
        <v>746</v>
      </c>
      <c r="C145" s="10" t="s">
        <v>841</v>
      </c>
      <c r="D145" s="7"/>
      <c r="E145" s="43">
        <v>90</v>
      </c>
      <c r="F145" s="43">
        <f>1.18+1.76</f>
        <v>2.94</v>
      </c>
      <c r="G145" s="16">
        <f t="shared" si="36"/>
        <v>15262.740000000018</v>
      </c>
      <c r="H145" s="64" t="s">
        <v>625</v>
      </c>
      <c r="I145" s="52"/>
      <c r="J145" s="43"/>
      <c r="K145" s="43"/>
      <c r="L145" s="43"/>
      <c r="M145" s="43"/>
      <c r="N145" s="43"/>
      <c r="O145" s="43"/>
      <c r="P145" s="43"/>
      <c r="Q145" s="43"/>
      <c r="R145" s="43"/>
      <c r="S145" s="43"/>
      <c r="T145" s="43"/>
      <c r="U145" s="43"/>
      <c r="V145" s="43"/>
      <c r="W145" s="43"/>
      <c r="X145" s="43"/>
      <c r="Y145" s="43"/>
      <c r="Z145" s="43">
        <v>90</v>
      </c>
      <c r="AA145" s="43"/>
      <c r="AB145" s="43"/>
      <c r="AC145" s="43"/>
      <c r="AD145" s="43"/>
      <c r="AE145" s="43"/>
      <c r="AF145" s="43"/>
      <c r="AG145" s="43"/>
      <c r="AH145" s="43"/>
      <c r="AI145" s="43"/>
      <c r="AJ145" s="43"/>
      <c r="AK145" s="43"/>
      <c r="AL145" s="43"/>
      <c r="AM145" s="43"/>
      <c r="AN145" s="43"/>
      <c r="AO145" s="43"/>
      <c r="AP145" s="43"/>
      <c r="AQ145" s="43"/>
      <c r="AR145" s="53"/>
      <c r="AS145" s="52"/>
      <c r="AT145" s="43"/>
      <c r="AU145" s="43"/>
      <c r="AV145" s="43"/>
      <c r="AW145" s="43"/>
      <c r="AX145" s="43"/>
      <c r="AY145" s="43"/>
      <c r="AZ145" s="43">
        <v>2.94</v>
      </c>
      <c r="BA145" s="43"/>
      <c r="BB145" s="43"/>
      <c r="BC145" s="43"/>
      <c r="BD145" s="43"/>
      <c r="BE145" s="43"/>
      <c r="BF145" s="43"/>
      <c r="BG145" s="43"/>
      <c r="BH145" s="43"/>
      <c r="BI145" s="43"/>
      <c r="BJ145" s="43"/>
      <c r="BK145" s="43"/>
      <c r="BL145" s="43"/>
      <c r="BM145" s="43"/>
      <c r="BN145" s="43"/>
      <c r="BO145" s="43"/>
      <c r="BP145" s="43"/>
      <c r="BQ145" s="43"/>
      <c r="BR145" s="43"/>
      <c r="BS145" s="43"/>
      <c r="BT145" s="43"/>
      <c r="BU145" s="43"/>
      <c r="BV145" s="43"/>
      <c r="BW145" s="53"/>
      <c r="BX145" s="30">
        <f t="shared" si="35"/>
        <v>0</v>
      </c>
      <c r="BY145" s="52"/>
      <c r="BZ145" s="43">
        <v>90</v>
      </c>
      <c r="CA145" s="43"/>
      <c r="CB145" s="43"/>
      <c r="CC145" s="43"/>
      <c r="CD145" s="43"/>
      <c r="CE145" s="43"/>
      <c r="CF145" s="43"/>
      <c r="CG145" s="53"/>
      <c r="CH145" s="52"/>
      <c r="CI145" s="43"/>
      <c r="CJ145" s="43"/>
      <c r="CK145" s="43"/>
      <c r="CL145" s="43"/>
      <c r="CM145" s="43"/>
      <c r="CN145" s="43"/>
      <c r="CO145" s="43"/>
      <c r="CP145" s="43"/>
      <c r="CQ145" s="43"/>
      <c r="CR145" s="43"/>
      <c r="CS145" s="43"/>
      <c r="CT145" s="43"/>
      <c r="CU145" s="43"/>
      <c r="CV145" s="43"/>
      <c r="CW145" s="43"/>
      <c r="CX145" s="43"/>
      <c r="CY145" s="43"/>
      <c r="CZ145" s="7"/>
      <c r="DA145" s="7"/>
      <c r="DB145" s="43">
        <v>2.94</v>
      </c>
      <c r="DC145" s="43"/>
      <c r="DD145" s="53"/>
      <c r="DE145" s="73">
        <f t="shared" si="37"/>
        <v>0</v>
      </c>
      <c r="DG145" s="52"/>
      <c r="DH145" s="43"/>
      <c r="DI145" s="50">
        <f t="shared" si="38"/>
        <v>6662.3533333333326</v>
      </c>
      <c r="DK145" s="52"/>
      <c r="DL145" s="43"/>
      <c r="DM145" s="50">
        <f t="shared" si="39"/>
        <v>3741.86</v>
      </c>
      <c r="DO145" s="52">
        <v>90</v>
      </c>
      <c r="DP145" s="43">
        <v>2.94</v>
      </c>
      <c r="DQ145" s="50">
        <f t="shared" si="40"/>
        <v>8185.8300000000017</v>
      </c>
      <c r="DT145" s="52"/>
      <c r="DU145" s="43"/>
      <c r="DV145" s="50">
        <f t="shared" si="41"/>
        <v>518.19000000000005</v>
      </c>
      <c r="DX145" s="52"/>
      <c r="DY145" s="43"/>
      <c r="DZ145" s="53">
        <f t="shared" si="42"/>
        <v>367.43999999999994</v>
      </c>
      <c r="EB145" s="52"/>
      <c r="EC145" s="43"/>
      <c r="ED145" s="53">
        <f t="shared" si="43"/>
        <v>500</v>
      </c>
      <c r="EF145" s="52"/>
      <c r="EG145" s="43"/>
      <c r="EH145" s="53">
        <f t="shared" si="44"/>
        <v>1048.04</v>
      </c>
      <c r="EJ145" s="65"/>
      <c r="EK145" s="7"/>
      <c r="EL145" s="53">
        <f t="shared" si="45"/>
        <v>25.299999999999997</v>
      </c>
      <c r="EN145" s="51">
        <f t="shared" si="46"/>
        <v>-5786.2733333333181</v>
      </c>
      <c r="EP145" s="60">
        <f t="shared" si="47"/>
        <v>0</v>
      </c>
      <c r="EQ145" s="61">
        <f t="shared" si="48"/>
        <v>0</v>
      </c>
      <c r="ER145" s="15">
        <f t="shared" si="49"/>
        <v>0</v>
      </c>
      <c r="ES145" s="163">
        <f t="shared" si="34"/>
        <v>0</v>
      </c>
      <c r="EU145">
        <v>135</v>
      </c>
    </row>
    <row r="146" spans="1:151" x14ac:dyDescent="0.45">
      <c r="A146" s="67">
        <v>45565</v>
      </c>
      <c r="B146" s="25" t="s">
        <v>747</v>
      </c>
      <c r="C146" s="10" t="s">
        <v>834</v>
      </c>
      <c r="D146" s="7"/>
      <c r="E146" s="43">
        <v>90</v>
      </c>
      <c r="F146" s="43">
        <v>2.94</v>
      </c>
      <c r="G146" s="66">
        <f t="shared" si="36"/>
        <v>15349.800000000017</v>
      </c>
      <c r="H146" s="64" t="s">
        <v>625</v>
      </c>
      <c r="I146" s="52"/>
      <c r="J146" s="43"/>
      <c r="K146" s="43"/>
      <c r="L146" s="43"/>
      <c r="M146" s="43"/>
      <c r="N146" s="43"/>
      <c r="O146" s="43"/>
      <c r="P146" s="43"/>
      <c r="Q146" s="43"/>
      <c r="R146" s="43"/>
      <c r="S146" s="43"/>
      <c r="T146" s="43"/>
      <c r="U146" s="43"/>
      <c r="V146" s="43"/>
      <c r="W146" s="43"/>
      <c r="X146" s="43">
        <v>90</v>
      </c>
      <c r="Y146" s="43"/>
      <c r="Z146" s="43"/>
      <c r="AA146" s="43"/>
      <c r="AB146" s="43"/>
      <c r="AC146" s="43"/>
      <c r="AD146" s="43"/>
      <c r="AE146" s="43"/>
      <c r="AF146" s="43"/>
      <c r="AG146" s="43"/>
      <c r="AH146" s="43"/>
      <c r="AI146" s="43"/>
      <c r="AJ146" s="43"/>
      <c r="AK146" s="43"/>
      <c r="AL146" s="43"/>
      <c r="AM146" s="43"/>
      <c r="AN146" s="43"/>
      <c r="AO146" s="43"/>
      <c r="AP146" s="43"/>
      <c r="AQ146" s="43"/>
      <c r="AR146" s="53"/>
      <c r="AS146" s="52"/>
      <c r="AT146" s="43"/>
      <c r="AU146" s="43"/>
      <c r="AV146" s="43"/>
      <c r="AW146" s="43"/>
      <c r="AX146" s="43">
        <v>2.94</v>
      </c>
      <c r="AY146" s="43"/>
      <c r="AZ146" s="43"/>
      <c r="BA146" s="43"/>
      <c r="BB146" s="43"/>
      <c r="BC146" s="43"/>
      <c r="BD146" s="43"/>
      <c r="BE146" s="43"/>
      <c r="BF146" s="43"/>
      <c r="BG146" s="43"/>
      <c r="BH146" s="43"/>
      <c r="BI146" s="43"/>
      <c r="BJ146" s="43"/>
      <c r="BK146" s="43"/>
      <c r="BL146" s="43"/>
      <c r="BM146" s="43"/>
      <c r="BN146" s="43"/>
      <c r="BO146" s="43"/>
      <c r="BP146" s="43"/>
      <c r="BQ146" s="43"/>
      <c r="BR146" s="43"/>
      <c r="BS146" s="43"/>
      <c r="BT146" s="43"/>
      <c r="BU146" s="43"/>
      <c r="BV146" s="43"/>
      <c r="BW146" s="53"/>
      <c r="BX146" s="30">
        <f t="shared" si="35"/>
        <v>0</v>
      </c>
      <c r="BY146" s="52"/>
      <c r="BZ146" s="43">
        <v>90</v>
      </c>
      <c r="CA146" s="43"/>
      <c r="CB146" s="43"/>
      <c r="CC146" s="43"/>
      <c r="CD146" s="43"/>
      <c r="CE146" s="43"/>
      <c r="CF146" s="43"/>
      <c r="CG146" s="53"/>
      <c r="CH146" s="52"/>
      <c r="CI146" s="43"/>
      <c r="CJ146" s="43"/>
      <c r="CK146" s="43"/>
      <c r="CL146" s="43"/>
      <c r="CM146" s="43"/>
      <c r="CN146" s="43"/>
      <c r="CO146" s="43"/>
      <c r="CP146" s="43"/>
      <c r="CQ146" s="43"/>
      <c r="CR146" s="43"/>
      <c r="CS146" s="43"/>
      <c r="CT146" s="43"/>
      <c r="CU146" s="43"/>
      <c r="CV146" s="43"/>
      <c r="CW146" s="43"/>
      <c r="CX146" s="43"/>
      <c r="CY146" s="43"/>
      <c r="CZ146" s="7"/>
      <c r="DA146" s="7"/>
      <c r="DB146" s="43">
        <v>2.94</v>
      </c>
      <c r="DC146" s="43"/>
      <c r="DD146" s="53"/>
      <c r="DE146" s="73">
        <f t="shared" si="37"/>
        <v>0</v>
      </c>
      <c r="DG146" s="52">
        <v>90</v>
      </c>
      <c r="DH146" s="43">
        <v>2.94</v>
      </c>
      <c r="DI146" s="50">
        <f t="shared" si="38"/>
        <v>6749.413333333333</v>
      </c>
      <c r="DK146" s="52"/>
      <c r="DL146" s="43"/>
      <c r="DM146" s="50">
        <f t="shared" si="39"/>
        <v>3741.86</v>
      </c>
      <c r="DO146" s="52"/>
      <c r="DP146" s="43"/>
      <c r="DQ146" s="50">
        <f t="shared" si="40"/>
        <v>8185.8300000000017</v>
      </c>
      <c r="DT146" s="52"/>
      <c r="DU146" s="43"/>
      <c r="DV146" s="50">
        <f t="shared" si="41"/>
        <v>518.19000000000005</v>
      </c>
      <c r="DX146" s="52"/>
      <c r="DY146" s="43"/>
      <c r="DZ146" s="53">
        <f t="shared" si="42"/>
        <v>367.43999999999994</v>
      </c>
      <c r="EB146" s="52"/>
      <c r="EC146" s="43"/>
      <c r="ED146" s="53">
        <f t="shared" si="43"/>
        <v>500</v>
      </c>
      <c r="EF146" s="52"/>
      <c r="EG146" s="43"/>
      <c r="EH146" s="53">
        <f t="shared" si="44"/>
        <v>1048.04</v>
      </c>
      <c r="EJ146" s="65"/>
      <c r="EK146" s="7"/>
      <c r="EL146" s="53">
        <f t="shared" si="45"/>
        <v>25.299999999999997</v>
      </c>
      <c r="EN146" s="51">
        <f t="shared" si="46"/>
        <v>-5786.2733333333199</v>
      </c>
      <c r="EP146" s="60">
        <f t="shared" si="47"/>
        <v>0</v>
      </c>
      <c r="EQ146" s="61">
        <f t="shared" si="48"/>
        <v>0</v>
      </c>
      <c r="ER146" s="15">
        <f t="shared" si="49"/>
        <v>0</v>
      </c>
      <c r="ES146" s="62">
        <f t="shared" si="34"/>
        <v>0</v>
      </c>
      <c r="EU146" s="6">
        <v>136</v>
      </c>
    </row>
    <row r="147" spans="1:151" x14ac:dyDescent="0.45">
      <c r="A147" s="67">
        <v>45567</v>
      </c>
      <c r="B147" s="25" t="s">
        <v>746</v>
      </c>
      <c r="C147" s="10" t="s">
        <v>845</v>
      </c>
      <c r="D147" s="7"/>
      <c r="E147" s="43">
        <v>45</v>
      </c>
      <c r="F147" s="43">
        <v>1.47</v>
      </c>
      <c r="G147" s="16">
        <f t="shared" si="36"/>
        <v>15393.330000000018</v>
      </c>
      <c r="H147" s="64" t="s">
        <v>625</v>
      </c>
      <c r="I147" s="52"/>
      <c r="J147" s="43"/>
      <c r="K147" s="43"/>
      <c r="L147" s="43"/>
      <c r="M147" s="43"/>
      <c r="N147" s="43"/>
      <c r="O147" s="43"/>
      <c r="P147" s="43"/>
      <c r="Q147" s="43"/>
      <c r="R147" s="43"/>
      <c r="S147" s="43"/>
      <c r="T147" s="43"/>
      <c r="U147" s="43"/>
      <c r="V147" s="43"/>
      <c r="W147" s="43"/>
      <c r="X147" s="43"/>
      <c r="Y147" s="43"/>
      <c r="Z147" s="43">
        <v>45</v>
      </c>
      <c r="AA147" s="43"/>
      <c r="AB147" s="43"/>
      <c r="AC147" s="43"/>
      <c r="AD147" s="43"/>
      <c r="AE147" s="43"/>
      <c r="AF147" s="43"/>
      <c r="AG147" s="43"/>
      <c r="AH147" s="43"/>
      <c r="AI147" s="43"/>
      <c r="AJ147" s="43"/>
      <c r="AK147" s="43"/>
      <c r="AL147" s="43"/>
      <c r="AM147" s="43"/>
      <c r="AN147" s="43"/>
      <c r="AO147" s="43"/>
      <c r="AP147" s="43"/>
      <c r="AQ147" s="43"/>
      <c r="AR147" s="53"/>
      <c r="AS147" s="52"/>
      <c r="AT147" s="43"/>
      <c r="AU147" s="43"/>
      <c r="AV147" s="43"/>
      <c r="AW147" s="43"/>
      <c r="AX147" s="43"/>
      <c r="AY147" s="43"/>
      <c r="AZ147" s="43">
        <v>1.47</v>
      </c>
      <c r="BA147" s="43"/>
      <c r="BB147" s="43"/>
      <c r="BC147" s="43"/>
      <c r="BD147" s="43"/>
      <c r="BE147" s="43"/>
      <c r="BF147" s="43"/>
      <c r="BG147" s="43"/>
      <c r="BH147" s="43"/>
      <c r="BI147" s="43"/>
      <c r="BJ147" s="43"/>
      <c r="BK147" s="43"/>
      <c r="BL147" s="43"/>
      <c r="BM147" s="43"/>
      <c r="BN147" s="43"/>
      <c r="BO147" s="43"/>
      <c r="BP147" s="43"/>
      <c r="BQ147" s="43"/>
      <c r="BR147" s="43"/>
      <c r="BS147" s="43"/>
      <c r="BT147" s="43"/>
      <c r="BU147" s="43"/>
      <c r="BV147" s="43"/>
      <c r="BW147" s="53"/>
      <c r="BX147" s="30">
        <f t="shared" si="35"/>
        <v>0</v>
      </c>
      <c r="BY147" s="52"/>
      <c r="BZ147" s="43">
        <v>45</v>
      </c>
      <c r="CA147" s="43"/>
      <c r="CB147" s="43"/>
      <c r="CC147" s="43"/>
      <c r="CD147" s="43"/>
      <c r="CE147" s="43"/>
      <c r="CF147" s="43"/>
      <c r="CG147" s="53"/>
      <c r="CH147" s="52"/>
      <c r="CI147" s="43"/>
      <c r="CJ147" s="43"/>
      <c r="CK147" s="43"/>
      <c r="CL147" s="43"/>
      <c r="CM147" s="43"/>
      <c r="CN147" s="43"/>
      <c r="CO147" s="43"/>
      <c r="CP147" s="43"/>
      <c r="CQ147" s="43"/>
      <c r="CR147" s="43"/>
      <c r="CS147" s="43"/>
      <c r="CT147" s="43"/>
      <c r="CU147" s="43"/>
      <c r="CV147" s="43"/>
      <c r="CW147" s="43"/>
      <c r="CX147" s="43"/>
      <c r="CY147" s="43"/>
      <c r="CZ147" s="7"/>
      <c r="DA147" s="7"/>
      <c r="DB147" s="43">
        <v>1.47</v>
      </c>
      <c r="DC147" s="43"/>
      <c r="DD147" s="53"/>
      <c r="DE147" s="73">
        <f t="shared" si="37"/>
        <v>0</v>
      </c>
      <c r="DG147" s="52"/>
      <c r="DH147" s="43"/>
      <c r="DI147" s="50">
        <f t="shared" si="38"/>
        <v>6749.413333333333</v>
      </c>
      <c r="DK147" s="52"/>
      <c r="DL147" s="43"/>
      <c r="DM147" s="50">
        <f t="shared" si="39"/>
        <v>3741.86</v>
      </c>
      <c r="DO147" s="52">
        <v>45</v>
      </c>
      <c r="DP147" s="43">
        <v>1.47</v>
      </c>
      <c r="DQ147" s="50">
        <f t="shared" si="40"/>
        <v>8229.3600000000024</v>
      </c>
      <c r="DT147" s="52"/>
      <c r="DU147" s="43"/>
      <c r="DV147" s="50">
        <f t="shared" si="41"/>
        <v>518.19000000000005</v>
      </c>
      <c r="DX147" s="52"/>
      <c r="DY147" s="43"/>
      <c r="DZ147" s="53">
        <f t="shared" si="42"/>
        <v>367.43999999999994</v>
      </c>
      <c r="EB147" s="52"/>
      <c r="EC147" s="43"/>
      <c r="ED147" s="53">
        <f t="shared" si="43"/>
        <v>500</v>
      </c>
      <c r="EF147" s="52"/>
      <c r="EG147" s="43"/>
      <c r="EH147" s="53">
        <f t="shared" si="44"/>
        <v>1048.04</v>
      </c>
      <c r="EJ147" s="65"/>
      <c r="EK147" s="7"/>
      <c r="EL147" s="53">
        <f t="shared" si="45"/>
        <v>25.299999999999997</v>
      </c>
      <c r="EN147" s="51">
        <f t="shared" si="46"/>
        <v>-5786.2733333333181</v>
      </c>
      <c r="EP147" s="60">
        <f t="shared" si="47"/>
        <v>0</v>
      </c>
      <c r="EQ147" s="61">
        <f t="shared" si="48"/>
        <v>0</v>
      </c>
      <c r="ER147" s="15">
        <f t="shared" si="49"/>
        <v>0</v>
      </c>
      <c r="ES147" s="163">
        <f t="shared" si="34"/>
        <v>0</v>
      </c>
      <c r="EU147">
        <v>137</v>
      </c>
    </row>
    <row r="148" spans="1:151" x14ac:dyDescent="0.45">
      <c r="A148" s="67">
        <v>45567</v>
      </c>
      <c r="B148" s="25" t="s">
        <v>747</v>
      </c>
      <c r="C148" s="10" t="s">
        <v>842</v>
      </c>
      <c r="D148" s="7"/>
      <c r="E148" s="43">
        <v>45</v>
      </c>
      <c r="F148" s="43">
        <v>1.47</v>
      </c>
      <c r="G148" s="16">
        <f t="shared" si="36"/>
        <v>15436.860000000019</v>
      </c>
      <c r="H148" s="64" t="s">
        <v>625</v>
      </c>
      <c r="I148" s="52"/>
      <c r="J148" s="43"/>
      <c r="K148" s="43"/>
      <c r="L148" s="43"/>
      <c r="M148" s="43"/>
      <c r="N148" s="43"/>
      <c r="O148" s="43"/>
      <c r="P148" s="43"/>
      <c r="Q148" s="43"/>
      <c r="R148" s="43"/>
      <c r="S148" s="43"/>
      <c r="T148" s="43"/>
      <c r="U148" s="43"/>
      <c r="V148" s="43"/>
      <c r="W148" s="43"/>
      <c r="X148" s="43">
        <v>45</v>
      </c>
      <c r="Y148" s="43"/>
      <c r="Z148" s="43"/>
      <c r="AA148" s="43"/>
      <c r="AB148" s="43"/>
      <c r="AC148" s="43"/>
      <c r="AD148" s="43"/>
      <c r="AE148" s="43"/>
      <c r="AF148" s="43"/>
      <c r="AG148" s="43"/>
      <c r="AH148" s="43"/>
      <c r="AI148" s="43"/>
      <c r="AJ148" s="43"/>
      <c r="AK148" s="43"/>
      <c r="AL148" s="43"/>
      <c r="AM148" s="43"/>
      <c r="AN148" s="43"/>
      <c r="AO148" s="43"/>
      <c r="AP148" s="43"/>
      <c r="AQ148" s="43"/>
      <c r="AR148" s="53"/>
      <c r="AS148" s="52"/>
      <c r="AT148" s="43"/>
      <c r="AU148" s="43"/>
      <c r="AV148" s="43"/>
      <c r="AW148" s="43"/>
      <c r="AX148" s="43">
        <v>1.47</v>
      </c>
      <c r="AY148" s="43"/>
      <c r="AZ148" s="43"/>
      <c r="BA148" s="43"/>
      <c r="BB148" s="43"/>
      <c r="BC148" s="43"/>
      <c r="BD148" s="43"/>
      <c r="BE148" s="43"/>
      <c r="BF148" s="43"/>
      <c r="BG148" s="43"/>
      <c r="BH148" s="43"/>
      <c r="BI148" s="43"/>
      <c r="BJ148" s="43"/>
      <c r="BK148" s="43"/>
      <c r="BL148" s="43"/>
      <c r="BM148" s="43"/>
      <c r="BN148" s="43"/>
      <c r="BO148" s="43"/>
      <c r="BP148" s="43"/>
      <c r="BQ148" s="43"/>
      <c r="BR148" s="43"/>
      <c r="BS148" s="43"/>
      <c r="BT148" s="43"/>
      <c r="BU148" s="43"/>
      <c r="BV148" s="43"/>
      <c r="BW148" s="53"/>
      <c r="BX148" s="30">
        <f t="shared" si="35"/>
        <v>0</v>
      </c>
      <c r="BY148" s="52"/>
      <c r="BZ148" s="43">
        <v>45</v>
      </c>
      <c r="CA148" s="43"/>
      <c r="CB148" s="43"/>
      <c r="CC148" s="43"/>
      <c r="CD148" s="43"/>
      <c r="CE148" s="43"/>
      <c r="CF148" s="43"/>
      <c r="CG148" s="53"/>
      <c r="CH148" s="52"/>
      <c r="CI148" s="43"/>
      <c r="CJ148" s="43"/>
      <c r="CK148" s="43"/>
      <c r="CL148" s="43"/>
      <c r="CM148" s="43"/>
      <c r="CN148" s="43"/>
      <c r="CO148" s="43"/>
      <c r="CP148" s="43"/>
      <c r="CQ148" s="43"/>
      <c r="CR148" s="43"/>
      <c r="CS148" s="43"/>
      <c r="CT148" s="43"/>
      <c r="CU148" s="43"/>
      <c r="CV148" s="43"/>
      <c r="CW148" s="43"/>
      <c r="CX148" s="43"/>
      <c r="CY148" s="43"/>
      <c r="CZ148" s="7"/>
      <c r="DA148" s="7"/>
      <c r="DB148" s="43">
        <v>1.47</v>
      </c>
      <c r="DC148" s="43"/>
      <c r="DD148" s="53"/>
      <c r="DE148" s="73">
        <f t="shared" si="37"/>
        <v>0</v>
      </c>
      <c r="DG148" s="52">
        <v>45</v>
      </c>
      <c r="DH148" s="43">
        <v>1.47</v>
      </c>
      <c r="DI148" s="50">
        <f t="shared" si="38"/>
        <v>6792.9433333333327</v>
      </c>
      <c r="DK148" s="52"/>
      <c r="DL148" s="43"/>
      <c r="DM148" s="50">
        <f t="shared" si="39"/>
        <v>3741.86</v>
      </c>
      <c r="DO148" s="52"/>
      <c r="DP148" s="43"/>
      <c r="DQ148" s="50">
        <f t="shared" si="40"/>
        <v>8229.3600000000024</v>
      </c>
      <c r="DT148" s="52"/>
      <c r="DU148" s="43"/>
      <c r="DV148" s="50">
        <f t="shared" si="41"/>
        <v>518.19000000000005</v>
      </c>
      <c r="DX148" s="52"/>
      <c r="DY148" s="43"/>
      <c r="DZ148" s="53">
        <f t="shared" si="42"/>
        <v>367.43999999999994</v>
      </c>
      <c r="EB148" s="52"/>
      <c r="EC148" s="43"/>
      <c r="ED148" s="53">
        <f t="shared" si="43"/>
        <v>500</v>
      </c>
      <c r="EF148" s="52"/>
      <c r="EG148" s="43"/>
      <c r="EH148" s="53">
        <f t="shared" si="44"/>
        <v>1048.04</v>
      </c>
      <c r="EJ148" s="65"/>
      <c r="EK148" s="7"/>
      <c r="EL148" s="53">
        <f t="shared" si="45"/>
        <v>25.299999999999997</v>
      </c>
      <c r="EN148" s="51">
        <f t="shared" si="46"/>
        <v>-5786.2733333333181</v>
      </c>
      <c r="EP148" s="60">
        <f t="shared" si="47"/>
        <v>0</v>
      </c>
      <c r="EQ148" s="61">
        <f t="shared" si="48"/>
        <v>0</v>
      </c>
      <c r="ER148" s="15">
        <f t="shared" si="49"/>
        <v>0</v>
      </c>
      <c r="ES148" s="62">
        <f t="shared" si="34"/>
        <v>0</v>
      </c>
      <c r="EU148" s="6">
        <v>138</v>
      </c>
    </row>
    <row r="149" spans="1:151" x14ac:dyDescent="0.45">
      <c r="A149" s="67">
        <v>45568</v>
      </c>
      <c r="B149" s="25" t="s">
        <v>747</v>
      </c>
      <c r="C149" s="10" t="s">
        <v>843</v>
      </c>
      <c r="D149" s="7"/>
      <c r="E149" s="43">
        <v>45</v>
      </c>
      <c r="F149" s="43">
        <v>1.47</v>
      </c>
      <c r="G149" s="16">
        <f t="shared" si="36"/>
        <v>15480.390000000019</v>
      </c>
      <c r="H149" s="64" t="s">
        <v>625</v>
      </c>
      <c r="I149" s="52"/>
      <c r="J149" s="43"/>
      <c r="K149" s="43"/>
      <c r="L149" s="43"/>
      <c r="M149" s="43"/>
      <c r="N149" s="43"/>
      <c r="O149" s="43"/>
      <c r="P149" s="43"/>
      <c r="Q149" s="43"/>
      <c r="R149" s="43"/>
      <c r="S149" s="43"/>
      <c r="T149" s="43"/>
      <c r="U149" s="43"/>
      <c r="V149" s="43"/>
      <c r="W149" s="43"/>
      <c r="X149" s="43">
        <v>45</v>
      </c>
      <c r="Y149" s="43"/>
      <c r="Z149" s="43"/>
      <c r="AA149" s="43"/>
      <c r="AB149" s="43"/>
      <c r="AC149" s="43"/>
      <c r="AD149" s="43"/>
      <c r="AE149" s="43"/>
      <c r="AF149" s="43"/>
      <c r="AG149" s="43"/>
      <c r="AH149" s="43"/>
      <c r="AI149" s="43"/>
      <c r="AJ149" s="43"/>
      <c r="AK149" s="43"/>
      <c r="AL149" s="43"/>
      <c r="AM149" s="43"/>
      <c r="AN149" s="43"/>
      <c r="AO149" s="43"/>
      <c r="AP149" s="43"/>
      <c r="AQ149" s="43"/>
      <c r="AR149" s="53"/>
      <c r="AS149" s="52"/>
      <c r="AT149" s="43"/>
      <c r="AU149" s="43"/>
      <c r="AV149" s="43"/>
      <c r="AW149" s="43"/>
      <c r="AX149" s="43">
        <v>1.47</v>
      </c>
      <c r="AY149" s="43"/>
      <c r="AZ149" s="43"/>
      <c r="BA149" s="43"/>
      <c r="BB149" s="43"/>
      <c r="BC149" s="43"/>
      <c r="BD149" s="43"/>
      <c r="BE149" s="43"/>
      <c r="BF149" s="43"/>
      <c r="BG149" s="43"/>
      <c r="BH149" s="43"/>
      <c r="BI149" s="43"/>
      <c r="BJ149" s="43"/>
      <c r="BK149" s="43"/>
      <c r="BL149" s="43"/>
      <c r="BM149" s="43"/>
      <c r="BN149" s="43"/>
      <c r="BO149" s="43"/>
      <c r="BP149" s="43"/>
      <c r="BQ149" s="43"/>
      <c r="BR149" s="43"/>
      <c r="BS149" s="43"/>
      <c r="BT149" s="43"/>
      <c r="BU149" s="43"/>
      <c r="BV149" s="43"/>
      <c r="BW149" s="53"/>
      <c r="BX149" s="30">
        <f t="shared" si="35"/>
        <v>0</v>
      </c>
      <c r="BY149" s="52"/>
      <c r="BZ149" s="43">
        <v>45</v>
      </c>
      <c r="CA149" s="43"/>
      <c r="CB149" s="43"/>
      <c r="CC149" s="43"/>
      <c r="CD149" s="43"/>
      <c r="CE149" s="43"/>
      <c r="CF149" s="43"/>
      <c r="CG149" s="53"/>
      <c r="CH149" s="52"/>
      <c r="CI149" s="43"/>
      <c r="CJ149" s="43"/>
      <c r="CK149" s="43"/>
      <c r="CL149" s="43"/>
      <c r="CM149" s="43"/>
      <c r="CN149" s="43"/>
      <c r="CO149" s="43"/>
      <c r="CP149" s="43"/>
      <c r="CQ149" s="43"/>
      <c r="CR149" s="43"/>
      <c r="CS149" s="43"/>
      <c r="CT149" s="43"/>
      <c r="CU149" s="43"/>
      <c r="CV149" s="43"/>
      <c r="CW149" s="43"/>
      <c r="CX149" s="43"/>
      <c r="CY149" s="43"/>
      <c r="CZ149" s="7"/>
      <c r="DA149" s="7"/>
      <c r="DB149" s="43">
        <v>1.47</v>
      </c>
      <c r="DC149" s="43"/>
      <c r="DD149" s="53"/>
      <c r="DE149" s="73">
        <f t="shared" si="37"/>
        <v>0</v>
      </c>
      <c r="DG149" s="52">
        <v>45</v>
      </c>
      <c r="DH149" s="43">
        <v>1.47</v>
      </c>
      <c r="DI149" s="50">
        <f t="shared" si="38"/>
        <v>6836.4733333333324</v>
      </c>
      <c r="DK149" s="52"/>
      <c r="DL149" s="43"/>
      <c r="DM149" s="50">
        <f t="shared" si="39"/>
        <v>3741.86</v>
      </c>
      <c r="DO149" s="52"/>
      <c r="DP149" s="43"/>
      <c r="DQ149" s="50">
        <f t="shared" si="40"/>
        <v>8229.3600000000024</v>
      </c>
      <c r="DT149" s="52"/>
      <c r="DU149" s="43"/>
      <c r="DV149" s="50">
        <f t="shared" si="41"/>
        <v>518.19000000000005</v>
      </c>
      <c r="DX149" s="52"/>
      <c r="DY149" s="43"/>
      <c r="DZ149" s="53">
        <f t="shared" si="42"/>
        <v>367.43999999999994</v>
      </c>
      <c r="EB149" s="52"/>
      <c r="EC149" s="43"/>
      <c r="ED149" s="53">
        <f t="shared" si="43"/>
        <v>500</v>
      </c>
      <c r="EF149" s="52"/>
      <c r="EG149" s="43"/>
      <c r="EH149" s="53">
        <f t="shared" si="44"/>
        <v>1048.04</v>
      </c>
      <c r="EJ149" s="65"/>
      <c r="EK149" s="7"/>
      <c r="EL149" s="53">
        <f t="shared" si="45"/>
        <v>25.299999999999997</v>
      </c>
      <c r="EN149" s="51">
        <f t="shared" si="46"/>
        <v>-5786.2733333333181</v>
      </c>
      <c r="EP149" s="60">
        <f t="shared" si="47"/>
        <v>0</v>
      </c>
      <c r="EQ149" s="61">
        <f t="shared" si="48"/>
        <v>0</v>
      </c>
      <c r="ER149" s="15">
        <f t="shared" si="49"/>
        <v>0</v>
      </c>
      <c r="ES149" s="163">
        <f t="shared" si="34"/>
        <v>0</v>
      </c>
      <c r="EU149">
        <v>139</v>
      </c>
    </row>
    <row r="150" spans="1:151" x14ac:dyDescent="0.45">
      <c r="A150" s="67">
        <v>45568</v>
      </c>
      <c r="B150" s="25" t="s">
        <v>742</v>
      </c>
      <c r="C150" s="10" t="s">
        <v>846</v>
      </c>
      <c r="D150" s="7"/>
      <c r="E150" s="43">
        <v>45</v>
      </c>
      <c r="F150" s="43">
        <v>1.47</v>
      </c>
      <c r="G150" s="16">
        <f t="shared" si="36"/>
        <v>15523.92000000002</v>
      </c>
      <c r="H150" s="64" t="s">
        <v>625</v>
      </c>
      <c r="I150" s="52"/>
      <c r="J150" s="43"/>
      <c r="K150" s="43"/>
      <c r="L150" s="43"/>
      <c r="M150" s="43"/>
      <c r="N150" s="43"/>
      <c r="O150" s="43"/>
      <c r="P150" s="43"/>
      <c r="Q150" s="43"/>
      <c r="R150" s="43"/>
      <c r="S150" s="43"/>
      <c r="T150" s="43"/>
      <c r="U150" s="43"/>
      <c r="V150" s="43"/>
      <c r="W150" s="43"/>
      <c r="X150" s="43"/>
      <c r="Y150" s="43"/>
      <c r="Z150" s="43">
        <v>45</v>
      </c>
      <c r="AA150" s="43"/>
      <c r="AB150" s="43"/>
      <c r="AC150" s="43"/>
      <c r="AD150" s="43"/>
      <c r="AE150" s="43"/>
      <c r="AF150" s="43"/>
      <c r="AG150" s="43"/>
      <c r="AH150" s="43"/>
      <c r="AI150" s="43"/>
      <c r="AJ150" s="43"/>
      <c r="AK150" s="43"/>
      <c r="AL150" s="43"/>
      <c r="AM150" s="43"/>
      <c r="AN150" s="43"/>
      <c r="AO150" s="43"/>
      <c r="AP150" s="43"/>
      <c r="AQ150" s="43"/>
      <c r="AR150" s="53"/>
      <c r="AS150" s="52"/>
      <c r="AT150" s="43"/>
      <c r="AU150" s="43"/>
      <c r="AV150" s="43"/>
      <c r="AW150" s="43"/>
      <c r="AX150" s="43"/>
      <c r="AY150" s="43"/>
      <c r="AZ150" s="43">
        <v>1.47</v>
      </c>
      <c r="BA150" s="43"/>
      <c r="BB150" s="43"/>
      <c r="BC150" s="43"/>
      <c r="BD150" s="43"/>
      <c r="BE150" s="43"/>
      <c r="BF150" s="43"/>
      <c r="BG150" s="43"/>
      <c r="BH150" s="43"/>
      <c r="BI150" s="43"/>
      <c r="BJ150" s="43"/>
      <c r="BK150" s="43"/>
      <c r="BL150" s="43"/>
      <c r="BM150" s="43"/>
      <c r="BN150" s="43"/>
      <c r="BO150" s="43"/>
      <c r="BP150" s="43"/>
      <c r="BQ150" s="43"/>
      <c r="BR150" s="43"/>
      <c r="BS150" s="43"/>
      <c r="BT150" s="43"/>
      <c r="BU150" s="43"/>
      <c r="BV150" s="43"/>
      <c r="BW150" s="53"/>
      <c r="BX150" s="30">
        <f t="shared" si="35"/>
        <v>0</v>
      </c>
      <c r="BY150" s="52"/>
      <c r="BZ150" s="43">
        <v>45</v>
      </c>
      <c r="CA150" s="43"/>
      <c r="CB150" s="43"/>
      <c r="CC150" s="43"/>
      <c r="CD150" s="43"/>
      <c r="CE150" s="43"/>
      <c r="CF150" s="43"/>
      <c r="CG150" s="53"/>
      <c r="CH150" s="52"/>
      <c r="CI150" s="43"/>
      <c r="CJ150" s="43"/>
      <c r="CK150" s="43"/>
      <c r="CL150" s="43"/>
      <c r="CM150" s="43"/>
      <c r="CN150" s="43"/>
      <c r="CO150" s="43"/>
      <c r="CP150" s="43"/>
      <c r="CQ150" s="43"/>
      <c r="CR150" s="43"/>
      <c r="CS150" s="43"/>
      <c r="CT150" s="43"/>
      <c r="CU150" s="43"/>
      <c r="CV150" s="43"/>
      <c r="CW150" s="43"/>
      <c r="CX150" s="43"/>
      <c r="CY150" s="43"/>
      <c r="CZ150" s="7"/>
      <c r="DA150" s="7"/>
      <c r="DB150" s="43">
        <v>1.47</v>
      </c>
      <c r="DC150" s="43"/>
      <c r="DD150" s="53"/>
      <c r="DE150" s="73">
        <f t="shared" si="37"/>
        <v>0</v>
      </c>
      <c r="DG150" s="52"/>
      <c r="DH150" s="43"/>
      <c r="DI150" s="50">
        <f t="shared" si="38"/>
        <v>6836.4733333333324</v>
      </c>
      <c r="DK150" s="52"/>
      <c r="DL150" s="43"/>
      <c r="DM150" s="50">
        <f t="shared" si="39"/>
        <v>3741.86</v>
      </c>
      <c r="DO150" s="52">
        <v>45</v>
      </c>
      <c r="DP150" s="43">
        <v>1.47</v>
      </c>
      <c r="DQ150" s="50">
        <f t="shared" si="40"/>
        <v>8272.8900000000031</v>
      </c>
      <c r="DT150" s="52"/>
      <c r="DU150" s="43"/>
      <c r="DV150" s="50">
        <f t="shared" si="41"/>
        <v>518.19000000000005</v>
      </c>
      <c r="DX150" s="52"/>
      <c r="DY150" s="43"/>
      <c r="DZ150" s="53">
        <f t="shared" si="42"/>
        <v>367.43999999999994</v>
      </c>
      <c r="EB150" s="52"/>
      <c r="EC150" s="43"/>
      <c r="ED150" s="53">
        <f t="shared" si="43"/>
        <v>500</v>
      </c>
      <c r="EF150" s="52"/>
      <c r="EG150" s="43"/>
      <c r="EH150" s="53">
        <f t="shared" si="44"/>
        <v>1048.04</v>
      </c>
      <c r="EJ150" s="65"/>
      <c r="EK150" s="7"/>
      <c r="EL150" s="53">
        <f t="shared" si="45"/>
        <v>25.299999999999997</v>
      </c>
      <c r="EN150" s="51">
        <f t="shared" si="46"/>
        <v>-5786.2733333333163</v>
      </c>
      <c r="EP150" s="60">
        <f t="shared" si="47"/>
        <v>0</v>
      </c>
      <c r="EQ150" s="61">
        <f t="shared" si="48"/>
        <v>0</v>
      </c>
      <c r="ER150" s="15">
        <f t="shared" si="49"/>
        <v>0</v>
      </c>
      <c r="ES150" s="62">
        <f t="shared" si="34"/>
        <v>0</v>
      </c>
      <c r="EU150" s="6">
        <v>140</v>
      </c>
    </row>
    <row r="151" spans="1:151" x14ac:dyDescent="0.45">
      <c r="A151" s="67">
        <v>45569</v>
      </c>
      <c r="B151" s="25" t="s">
        <v>847</v>
      </c>
      <c r="C151" s="10" t="s">
        <v>623</v>
      </c>
      <c r="D151" s="7"/>
      <c r="E151" s="43"/>
      <c r="F151" s="43">
        <v>268</v>
      </c>
      <c r="G151" s="16">
        <f t="shared" si="36"/>
        <v>15255.92000000002</v>
      </c>
      <c r="H151" s="64" t="s">
        <v>625</v>
      </c>
      <c r="I151" s="52"/>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53"/>
      <c r="AS151" s="52"/>
      <c r="AT151" s="43"/>
      <c r="AU151" s="43"/>
      <c r="AV151" s="43"/>
      <c r="AW151" s="43"/>
      <c r="AX151" s="43">
        <v>89.34</v>
      </c>
      <c r="AY151" s="43">
        <v>89.33</v>
      </c>
      <c r="AZ151" s="43">
        <v>89.33</v>
      </c>
      <c r="BA151" s="43"/>
      <c r="BB151" s="43"/>
      <c r="BC151" s="43"/>
      <c r="BD151" s="43"/>
      <c r="BE151" s="43"/>
      <c r="BF151" s="43"/>
      <c r="BG151" s="43"/>
      <c r="BH151" s="43"/>
      <c r="BI151" s="43"/>
      <c r="BJ151" s="43"/>
      <c r="BK151" s="43"/>
      <c r="BL151" s="43"/>
      <c r="BM151" s="43"/>
      <c r="BN151" s="43"/>
      <c r="BO151" s="43"/>
      <c r="BP151" s="43"/>
      <c r="BQ151" s="43"/>
      <c r="BR151" s="43"/>
      <c r="BS151" s="43"/>
      <c r="BT151" s="43"/>
      <c r="BU151" s="43"/>
      <c r="BV151" s="43"/>
      <c r="BW151" s="53"/>
      <c r="BX151" s="30">
        <f t="shared" si="35"/>
        <v>0</v>
      </c>
      <c r="BY151" s="52"/>
      <c r="BZ151" s="43"/>
      <c r="CA151" s="43"/>
      <c r="CB151" s="43"/>
      <c r="CC151" s="43"/>
      <c r="CD151" s="43"/>
      <c r="CE151" s="43"/>
      <c r="CF151" s="43"/>
      <c r="CG151" s="53"/>
      <c r="CH151" s="52"/>
      <c r="CI151" s="43"/>
      <c r="CJ151" s="43"/>
      <c r="CK151" s="43">
        <v>268</v>
      </c>
      <c r="CL151" s="43"/>
      <c r="CM151" s="43"/>
      <c r="CN151" s="43"/>
      <c r="CO151" s="43"/>
      <c r="CP151" s="43"/>
      <c r="CQ151" s="43"/>
      <c r="CR151" s="43"/>
      <c r="CS151" s="43"/>
      <c r="CT151" s="43"/>
      <c r="CU151" s="43"/>
      <c r="CV151" s="43"/>
      <c r="CW151" s="43"/>
      <c r="CX151" s="43"/>
      <c r="CY151" s="43"/>
      <c r="CZ151" s="7"/>
      <c r="DA151" s="7"/>
      <c r="DB151" s="43"/>
      <c r="DC151" s="43"/>
      <c r="DD151" s="53"/>
      <c r="DE151" s="73">
        <f t="shared" si="37"/>
        <v>0</v>
      </c>
      <c r="DG151" s="52"/>
      <c r="DH151" s="43">
        <v>89.34</v>
      </c>
      <c r="DI151" s="50">
        <f t="shared" si="38"/>
        <v>6747.1333333333323</v>
      </c>
      <c r="DK151" s="52"/>
      <c r="DL151" s="43">
        <v>89.33</v>
      </c>
      <c r="DM151" s="50">
        <f t="shared" si="39"/>
        <v>3652.53</v>
      </c>
      <c r="DO151" s="52"/>
      <c r="DP151" s="43">
        <v>89.33</v>
      </c>
      <c r="DQ151" s="50">
        <f t="shared" si="40"/>
        <v>8183.5600000000031</v>
      </c>
      <c r="DT151" s="52"/>
      <c r="DU151" s="43"/>
      <c r="DV151" s="50">
        <f t="shared" si="41"/>
        <v>518.19000000000005</v>
      </c>
      <c r="DX151" s="52"/>
      <c r="DY151" s="43"/>
      <c r="DZ151" s="53">
        <f t="shared" si="42"/>
        <v>367.43999999999994</v>
      </c>
      <c r="EB151" s="52"/>
      <c r="EC151" s="43"/>
      <c r="ED151" s="53">
        <f t="shared" si="43"/>
        <v>500</v>
      </c>
      <c r="EF151" s="52"/>
      <c r="EG151" s="43"/>
      <c r="EH151" s="53">
        <f t="shared" si="44"/>
        <v>1048.04</v>
      </c>
      <c r="EJ151" s="65"/>
      <c r="EK151" s="7"/>
      <c r="EL151" s="53">
        <f t="shared" si="45"/>
        <v>25.299999999999997</v>
      </c>
      <c r="EN151" s="51">
        <f t="shared" si="46"/>
        <v>-5786.2733333333163</v>
      </c>
      <c r="EP151" s="60">
        <f t="shared" si="47"/>
        <v>0</v>
      </c>
      <c r="EQ151" s="61">
        <f t="shared" si="48"/>
        <v>0</v>
      </c>
      <c r="ER151" s="15">
        <f t="shared" si="49"/>
        <v>0</v>
      </c>
      <c r="ES151" s="163">
        <f t="shared" si="34"/>
        <v>0</v>
      </c>
      <c r="EU151">
        <v>141</v>
      </c>
    </row>
    <row r="152" spans="1:151" x14ac:dyDescent="0.45">
      <c r="A152" s="67">
        <v>45569</v>
      </c>
      <c r="B152" s="70" t="s">
        <v>748</v>
      </c>
      <c r="C152" s="10" t="s">
        <v>848</v>
      </c>
      <c r="D152" s="7"/>
      <c r="E152" s="43">
        <v>630</v>
      </c>
      <c r="F152" s="43">
        <f>8.26+12.32</f>
        <v>20.58</v>
      </c>
      <c r="G152" s="16">
        <f t="shared" si="36"/>
        <v>15865.34000000002</v>
      </c>
      <c r="H152" s="71" t="s">
        <v>625</v>
      </c>
      <c r="I152" s="52"/>
      <c r="J152" s="43"/>
      <c r="K152" s="43"/>
      <c r="L152" s="43"/>
      <c r="M152" s="43"/>
      <c r="N152" s="43"/>
      <c r="O152" s="43"/>
      <c r="P152" s="43"/>
      <c r="Q152" s="43"/>
      <c r="R152" s="43"/>
      <c r="S152" s="43"/>
      <c r="T152" s="43"/>
      <c r="U152" s="43"/>
      <c r="V152" s="43"/>
      <c r="W152" s="43"/>
      <c r="X152" s="43"/>
      <c r="Y152" s="43">
        <v>630</v>
      </c>
      <c r="Z152" s="43"/>
      <c r="AA152" s="43"/>
      <c r="AB152" s="43"/>
      <c r="AC152" s="43"/>
      <c r="AD152" s="43"/>
      <c r="AE152" s="43"/>
      <c r="AF152" s="43"/>
      <c r="AG152" s="43"/>
      <c r="AH152" s="43"/>
      <c r="AI152" s="43"/>
      <c r="AJ152" s="43"/>
      <c r="AK152" s="43"/>
      <c r="AL152" s="43"/>
      <c r="AM152" s="43"/>
      <c r="AN152" s="43"/>
      <c r="AO152" s="43"/>
      <c r="AP152" s="43"/>
      <c r="AQ152" s="43"/>
      <c r="AR152" s="53"/>
      <c r="AS152" s="52"/>
      <c r="AT152" s="43"/>
      <c r="AU152" s="43"/>
      <c r="AV152" s="43"/>
      <c r="AW152" s="43"/>
      <c r="AX152" s="43"/>
      <c r="AY152" s="43">
        <v>20.58</v>
      </c>
      <c r="AZ152" s="43"/>
      <c r="BA152" s="43"/>
      <c r="BB152" s="43"/>
      <c r="BC152" s="43"/>
      <c r="BD152" s="43"/>
      <c r="BE152" s="43"/>
      <c r="BF152" s="43"/>
      <c r="BG152" s="43"/>
      <c r="BH152" s="43"/>
      <c r="BI152" s="43"/>
      <c r="BJ152" s="43"/>
      <c r="BK152" s="43"/>
      <c r="BL152" s="43"/>
      <c r="BM152" s="43"/>
      <c r="BN152" s="43"/>
      <c r="BO152" s="43"/>
      <c r="BP152" s="43"/>
      <c r="BQ152" s="43"/>
      <c r="BR152" s="43"/>
      <c r="BS152" s="43"/>
      <c r="BT152" s="43"/>
      <c r="BU152" s="43"/>
      <c r="BV152" s="43"/>
      <c r="BW152" s="53"/>
      <c r="BX152" s="30">
        <f t="shared" si="35"/>
        <v>0</v>
      </c>
      <c r="BY152" s="52"/>
      <c r="BZ152" s="43">
        <v>630</v>
      </c>
      <c r="CA152" s="43"/>
      <c r="CB152" s="43"/>
      <c r="CC152" s="43"/>
      <c r="CD152" s="43"/>
      <c r="CE152" s="43"/>
      <c r="CF152" s="43"/>
      <c r="CG152" s="53"/>
      <c r="CH152" s="52"/>
      <c r="CI152" s="43"/>
      <c r="CJ152" s="43"/>
      <c r="CK152" s="43"/>
      <c r="CL152" s="43"/>
      <c r="CM152" s="43"/>
      <c r="CN152" s="43"/>
      <c r="CO152" s="43"/>
      <c r="CP152" s="43"/>
      <c r="CQ152" s="43"/>
      <c r="CR152" s="43"/>
      <c r="CS152" s="43"/>
      <c r="CT152" s="43"/>
      <c r="CU152" s="43"/>
      <c r="CV152" s="43"/>
      <c r="CW152" s="43"/>
      <c r="CX152" s="43"/>
      <c r="CY152" s="43"/>
      <c r="CZ152" s="7"/>
      <c r="DA152" s="7"/>
      <c r="DB152" s="43">
        <v>20.58</v>
      </c>
      <c r="DC152" s="43"/>
      <c r="DD152" s="53"/>
      <c r="DE152" s="73">
        <f t="shared" si="37"/>
        <v>0</v>
      </c>
      <c r="DG152" s="52"/>
      <c r="DH152" s="43"/>
      <c r="DI152" s="50">
        <f t="shared" si="38"/>
        <v>6747.1333333333323</v>
      </c>
      <c r="DK152" s="52">
        <v>630</v>
      </c>
      <c r="DL152" s="43">
        <v>20.58</v>
      </c>
      <c r="DM152" s="53">
        <f t="shared" si="39"/>
        <v>4261.9500000000007</v>
      </c>
      <c r="DO152" s="52"/>
      <c r="DP152" s="43"/>
      <c r="DQ152" s="50">
        <f t="shared" si="40"/>
        <v>8183.5600000000031</v>
      </c>
      <c r="DT152" s="52"/>
      <c r="DU152" s="43"/>
      <c r="DV152" s="50">
        <f t="shared" si="41"/>
        <v>518.19000000000005</v>
      </c>
      <c r="DX152" s="52"/>
      <c r="DY152" s="43"/>
      <c r="DZ152" s="53">
        <f t="shared" si="42"/>
        <v>367.43999999999994</v>
      </c>
      <c r="EB152" s="52"/>
      <c r="EC152" s="43"/>
      <c r="ED152" s="53">
        <f t="shared" si="43"/>
        <v>500</v>
      </c>
      <c r="EF152" s="52"/>
      <c r="EG152" s="43"/>
      <c r="EH152" s="53">
        <f t="shared" si="44"/>
        <v>1048.04</v>
      </c>
      <c r="EJ152" s="65"/>
      <c r="EK152" s="7"/>
      <c r="EL152" s="53">
        <f t="shared" si="45"/>
        <v>25.299999999999997</v>
      </c>
      <c r="EN152" s="51">
        <f t="shared" si="46"/>
        <v>-5786.2733333333181</v>
      </c>
      <c r="EP152" s="60">
        <f t="shared" si="47"/>
        <v>0</v>
      </c>
      <c r="EQ152" s="61">
        <f t="shared" si="48"/>
        <v>0</v>
      </c>
      <c r="ER152" s="15">
        <f t="shared" si="49"/>
        <v>0</v>
      </c>
      <c r="ES152" s="62">
        <f t="shared" si="34"/>
        <v>0</v>
      </c>
      <c r="ET152" t="s">
        <v>1004</v>
      </c>
      <c r="EU152" s="6">
        <v>142</v>
      </c>
    </row>
    <row r="153" spans="1:151" x14ac:dyDescent="0.45">
      <c r="A153" s="67">
        <v>45572</v>
      </c>
      <c r="B153" s="25" t="s">
        <v>747</v>
      </c>
      <c r="C153" s="10" t="s">
        <v>844</v>
      </c>
      <c r="D153" s="7"/>
      <c r="E153" s="43">
        <v>45</v>
      </c>
      <c r="F153" s="43">
        <v>1.47</v>
      </c>
      <c r="G153" s="16">
        <f t="shared" si="36"/>
        <v>15908.870000000021</v>
      </c>
      <c r="H153" s="64" t="s">
        <v>625</v>
      </c>
      <c r="I153" s="52"/>
      <c r="J153" s="43"/>
      <c r="K153" s="43"/>
      <c r="L153" s="43"/>
      <c r="M153" s="43"/>
      <c r="N153" s="43"/>
      <c r="O153" s="43"/>
      <c r="P153" s="43"/>
      <c r="Q153" s="43"/>
      <c r="R153" s="43"/>
      <c r="S153" s="43"/>
      <c r="T153" s="43"/>
      <c r="U153" s="43"/>
      <c r="V153" s="43"/>
      <c r="W153" s="43"/>
      <c r="X153" s="43">
        <v>45</v>
      </c>
      <c r="Y153" s="43"/>
      <c r="Z153" s="43"/>
      <c r="AA153" s="43"/>
      <c r="AB153" s="43"/>
      <c r="AC153" s="43"/>
      <c r="AD153" s="43"/>
      <c r="AE153" s="43"/>
      <c r="AF153" s="43"/>
      <c r="AG153" s="43"/>
      <c r="AH153" s="43"/>
      <c r="AI153" s="43"/>
      <c r="AJ153" s="43"/>
      <c r="AK153" s="43"/>
      <c r="AL153" s="43"/>
      <c r="AM153" s="43"/>
      <c r="AN153" s="43"/>
      <c r="AO153" s="43"/>
      <c r="AP153" s="43"/>
      <c r="AQ153" s="43"/>
      <c r="AR153" s="53"/>
      <c r="AS153" s="52"/>
      <c r="AT153" s="43"/>
      <c r="AU153" s="43"/>
      <c r="AV153" s="43"/>
      <c r="AW153" s="43"/>
      <c r="AX153" s="43">
        <v>1.47</v>
      </c>
      <c r="AY153" s="43"/>
      <c r="AZ153" s="43"/>
      <c r="BA153" s="43"/>
      <c r="BB153" s="43"/>
      <c r="BC153" s="43"/>
      <c r="BD153" s="43"/>
      <c r="BE153" s="43"/>
      <c r="BF153" s="43"/>
      <c r="BG153" s="43"/>
      <c r="BH153" s="43"/>
      <c r="BI153" s="43"/>
      <c r="BJ153" s="43"/>
      <c r="BK153" s="43"/>
      <c r="BL153" s="43"/>
      <c r="BM153" s="43"/>
      <c r="BN153" s="43"/>
      <c r="BO153" s="43"/>
      <c r="BP153" s="43"/>
      <c r="BQ153" s="43"/>
      <c r="BR153" s="43"/>
      <c r="BS153" s="43"/>
      <c r="BT153" s="43"/>
      <c r="BU153" s="43"/>
      <c r="BV153" s="43"/>
      <c r="BW153" s="53"/>
      <c r="BX153" s="30">
        <f t="shared" si="35"/>
        <v>0</v>
      </c>
      <c r="BY153" s="52"/>
      <c r="BZ153" s="43">
        <v>45</v>
      </c>
      <c r="CA153" s="43"/>
      <c r="CB153" s="43"/>
      <c r="CC153" s="43"/>
      <c r="CD153" s="43"/>
      <c r="CE153" s="43"/>
      <c r="CF153" s="43"/>
      <c r="CG153" s="53"/>
      <c r="CH153" s="52"/>
      <c r="CI153" s="43"/>
      <c r="CJ153" s="43"/>
      <c r="CK153" s="43"/>
      <c r="CL153" s="43"/>
      <c r="CM153" s="43"/>
      <c r="CN153" s="43"/>
      <c r="CO153" s="43"/>
      <c r="CP153" s="43"/>
      <c r="CQ153" s="43"/>
      <c r="CR153" s="43"/>
      <c r="CS153" s="43"/>
      <c r="CT153" s="43"/>
      <c r="CU153" s="43"/>
      <c r="CV153" s="43"/>
      <c r="CW153" s="43"/>
      <c r="CX153" s="43"/>
      <c r="CY153" s="43"/>
      <c r="CZ153" s="7"/>
      <c r="DA153" s="7"/>
      <c r="DB153" s="43">
        <v>1.47</v>
      </c>
      <c r="DC153" s="43"/>
      <c r="DD153" s="53"/>
      <c r="DE153" s="73">
        <f t="shared" si="37"/>
        <v>0</v>
      </c>
      <c r="DG153" s="52">
        <v>45</v>
      </c>
      <c r="DH153" s="43">
        <v>1.47</v>
      </c>
      <c r="DI153" s="50">
        <f t="shared" si="38"/>
        <v>6790.663333333332</v>
      </c>
      <c r="DK153" s="52"/>
      <c r="DL153" s="43"/>
      <c r="DM153" s="50">
        <f t="shared" si="39"/>
        <v>4261.9500000000007</v>
      </c>
      <c r="DO153" s="52"/>
      <c r="DP153" s="43"/>
      <c r="DQ153" s="50">
        <f t="shared" si="40"/>
        <v>8183.5600000000031</v>
      </c>
      <c r="DT153" s="52"/>
      <c r="DU153" s="43"/>
      <c r="DV153" s="50">
        <f t="shared" si="41"/>
        <v>518.19000000000005</v>
      </c>
      <c r="DX153" s="52"/>
      <c r="DY153" s="43"/>
      <c r="DZ153" s="53">
        <f t="shared" si="42"/>
        <v>367.43999999999994</v>
      </c>
      <c r="EB153" s="52"/>
      <c r="EC153" s="43"/>
      <c r="ED153" s="53">
        <f t="shared" si="43"/>
        <v>500</v>
      </c>
      <c r="EF153" s="52"/>
      <c r="EG153" s="43"/>
      <c r="EH153" s="53">
        <f t="shared" si="44"/>
        <v>1048.04</v>
      </c>
      <c r="EJ153" s="65"/>
      <c r="EK153" s="7"/>
      <c r="EL153" s="53">
        <f t="shared" si="45"/>
        <v>25.299999999999997</v>
      </c>
      <c r="EN153" s="51">
        <f t="shared" si="46"/>
        <v>-5786.2733333333163</v>
      </c>
      <c r="EP153" s="60">
        <f t="shared" si="47"/>
        <v>0</v>
      </c>
      <c r="EQ153" s="61">
        <f t="shared" si="48"/>
        <v>0</v>
      </c>
      <c r="ER153" s="15">
        <f t="shared" si="49"/>
        <v>0</v>
      </c>
      <c r="ES153" s="163">
        <f t="shared" si="34"/>
        <v>0</v>
      </c>
      <c r="EU153">
        <v>143</v>
      </c>
    </row>
    <row r="154" spans="1:151" x14ac:dyDescent="0.45">
      <c r="A154" s="67">
        <v>45572</v>
      </c>
      <c r="B154" s="70" t="s">
        <v>748</v>
      </c>
      <c r="C154" s="10" t="s">
        <v>849</v>
      </c>
      <c r="D154" s="7"/>
      <c r="E154" s="43">
        <v>90</v>
      </c>
      <c r="F154" s="43">
        <f>1.18+1.76</f>
        <v>2.94</v>
      </c>
      <c r="G154" s="16">
        <f t="shared" si="36"/>
        <v>15995.93000000002</v>
      </c>
      <c r="H154" s="64" t="s">
        <v>625</v>
      </c>
      <c r="I154" s="52"/>
      <c r="J154" s="43"/>
      <c r="K154" s="43"/>
      <c r="L154" s="43"/>
      <c r="M154" s="43"/>
      <c r="N154" s="43"/>
      <c r="O154" s="43"/>
      <c r="P154" s="43"/>
      <c r="Q154" s="43"/>
      <c r="R154" s="43"/>
      <c r="S154" s="43"/>
      <c r="T154" s="43"/>
      <c r="U154" s="43"/>
      <c r="V154" s="43"/>
      <c r="W154" s="43"/>
      <c r="X154" s="43"/>
      <c r="Y154" s="43">
        <v>90</v>
      </c>
      <c r="Z154" s="43"/>
      <c r="AA154" s="43"/>
      <c r="AB154" s="43"/>
      <c r="AC154" s="43"/>
      <c r="AD154" s="43"/>
      <c r="AE154" s="43"/>
      <c r="AF154" s="43"/>
      <c r="AG154" s="43"/>
      <c r="AH154" s="43"/>
      <c r="AI154" s="43"/>
      <c r="AJ154" s="43"/>
      <c r="AK154" s="43"/>
      <c r="AL154" s="43"/>
      <c r="AM154" s="43"/>
      <c r="AN154" s="43"/>
      <c r="AO154" s="43"/>
      <c r="AP154" s="43"/>
      <c r="AQ154" s="43"/>
      <c r="AR154" s="53"/>
      <c r="AS154" s="52"/>
      <c r="AT154" s="43"/>
      <c r="AU154" s="43"/>
      <c r="AV154" s="43"/>
      <c r="AW154" s="43"/>
      <c r="AX154" s="43"/>
      <c r="AY154" s="43">
        <v>2.94</v>
      </c>
      <c r="AZ154" s="43"/>
      <c r="BA154" s="43"/>
      <c r="BB154" s="43"/>
      <c r="BC154" s="43"/>
      <c r="BD154" s="43"/>
      <c r="BE154" s="43"/>
      <c r="BF154" s="43"/>
      <c r="BG154" s="43"/>
      <c r="BH154" s="43"/>
      <c r="BI154" s="43"/>
      <c r="BJ154" s="43"/>
      <c r="BK154" s="43"/>
      <c r="BL154" s="43"/>
      <c r="BM154" s="43"/>
      <c r="BN154" s="43"/>
      <c r="BO154" s="43"/>
      <c r="BP154" s="43"/>
      <c r="BQ154" s="43"/>
      <c r="BR154" s="43"/>
      <c r="BS154" s="43"/>
      <c r="BT154" s="43"/>
      <c r="BU154" s="43"/>
      <c r="BV154" s="43"/>
      <c r="BW154" s="53"/>
      <c r="BX154" s="30">
        <f t="shared" si="35"/>
        <v>0</v>
      </c>
      <c r="BY154" s="52"/>
      <c r="BZ154" s="43">
        <v>90</v>
      </c>
      <c r="CA154" s="43"/>
      <c r="CB154" s="43"/>
      <c r="CC154" s="43"/>
      <c r="CD154" s="43"/>
      <c r="CE154" s="43"/>
      <c r="CF154" s="43"/>
      <c r="CG154" s="53"/>
      <c r="CH154" s="52"/>
      <c r="CI154" s="43"/>
      <c r="CJ154" s="43"/>
      <c r="CK154" s="43"/>
      <c r="CL154" s="43"/>
      <c r="CM154" s="43"/>
      <c r="CN154" s="43"/>
      <c r="CO154" s="43"/>
      <c r="CP154" s="43"/>
      <c r="CQ154" s="43"/>
      <c r="CR154" s="43"/>
      <c r="CS154" s="43"/>
      <c r="CT154" s="43"/>
      <c r="CU154" s="43"/>
      <c r="CV154" s="43"/>
      <c r="CW154" s="43"/>
      <c r="CX154" s="43"/>
      <c r="CY154" s="43"/>
      <c r="CZ154" s="7"/>
      <c r="DA154" s="7"/>
      <c r="DB154" s="43">
        <v>2.94</v>
      </c>
      <c r="DC154" s="43"/>
      <c r="DD154" s="53"/>
      <c r="DE154" s="73">
        <f t="shared" si="37"/>
        <v>0</v>
      </c>
      <c r="DG154" s="52"/>
      <c r="DH154" s="43"/>
      <c r="DI154" s="50">
        <f t="shared" si="38"/>
        <v>6790.663333333332</v>
      </c>
      <c r="DK154" s="52">
        <v>90</v>
      </c>
      <c r="DL154" s="43">
        <v>2.94</v>
      </c>
      <c r="DM154" s="50">
        <f t="shared" si="39"/>
        <v>4349.0100000000011</v>
      </c>
      <c r="DO154" s="52"/>
      <c r="DP154" s="43"/>
      <c r="DQ154" s="50">
        <f t="shared" si="40"/>
        <v>8183.5600000000031</v>
      </c>
      <c r="DT154" s="52"/>
      <c r="DU154" s="43"/>
      <c r="DV154" s="50">
        <f t="shared" si="41"/>
        <v>518.19000000000005</v>
      </c>
      <c r="DX154" s="52"/>
      <c r="DY154" s="43"/>
      <c r="DZ154" s="53">
        <f t="shared" si="42"/>
        <v>367.43999999999994</v>
      </c>
      <c r="EB154" s="52"/>
      <c r="EC154" s="43"/>
      <c r="ED154" s="53">
        <f t="shared" si="43"/>
        <v>500</v>
      </c>
      <c r="EF154" s="52"/>
      <c r="EG154" s="43"/>
      <c r="EH154" s="53">
        <f t="shared" si="44"/>
        <v>1048.04</v>
      </c>
      <c r="EJ154" s="65"/>
      <c r="EK154" s="7"/>
      <c r="EL154" s="53">
        <f t="shared" si="45"/>
        <v>25.299999999999997</v>
      </c>
      <c r="EN154" s="51">
        <f t="shared" si="46"/>
        <v>-5786.2733333333163</v>
      </c>
      <c r="EP154" s="60">
        <f t="shared" si="47"/>
        <v>0</v>
      </c>
      <c r="EQ154" s="61">
        <f t="shared" si="48"/>
        <v>0</v>
      </c>
      <c r="ER154" s="15">
        <f t="shared" si="49"/>
        <v>0</v>
      </c>
      <c r="ES154" s="62">
        <f t="shared" ref="ES154:ES185" si="50">+X154+Y154+Z154+AA154-BZ154-CA154-CB154-CC154</f>
        <v>0</v>
      </c>
      <c r="EU154" s="6">
        <v>144</v>
      </c>
    </row>
    <row r="155" spans="1:151" x14ac:dyDescent="0.45">
      <c r="A155" s="67">
        <v>45572</v>
      </c>
      <c r="B155" s="25" t="s">
        <v>790</v>
      </c>
      <c r="C155" s="10" t="s">
        <v>539</v>
      </c>
      <c r="D155" s="7"/>
      <c r="E155" s="43"/>
      <c r="F155" s="43">
        <v>24.95</v>
      </c>
      <c r="G155" s="16">
        <f t="shared" si="36"/>
        <v>15970.98000000002</v>
      </c>
      <c r="H155" s="64" t="s">
        <v>625</v>
      </c>
      <c r="I155" s="52"/>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53"/>
      <c r="AS155" s="52"/>
      <c r="AT155" s="43"/>
      <c r="AU155" s="43"/>
      <c r="AV155" s="43"/>
      <c r="AW155" s="43"/>
      <c r="AX155" s="43"/>
      <c r="AY155" s="43"/>
      <c r="AZ155" s="43">
        <v>24.95</v>
      </c>
      <c r="BA155" s="43"/>
      <c r="BB155" s="43"/>
      <c r="BC155" s="43"/>
      <c r="BD155" s="43"/>
      <c r="BE155" s="43"/>
      <c r="BF155" s="43"/>
      <c r="BG155" s="43"/>
      <c r="BH155" s="43"/>
      <c r="BI155" s="43"/>
      <c r="BJ155" s="43"/>
      <c r="BK155" s="43"/>
      <c r="BL155" s="43"/>
      <c r="BM155" s="43"/>
      <c r="BN155" s="43"/>
      <c r="BO155" s="43"/>
      <c r="BP155" s="43"/>
      <c r="BQ155" s="43"/>
      <c r="BR155" s="43"/>
      <c r="BS155" s="43"/>
      <c r="BT155" s="43"/>
      <c r="BU155" s="43"/>
      <c r="BV155" s="43"/>
      <c r="BW155" s="53"/>
      <c r="BX155" s="30">
        <f t="shared" si="35"/>
        <v>0</v>
      </c>
      <c r="BY155" s="52"/>
      <c r="BZ155" s="43"/>
      <c r="CA155" s="43"/>
      <c r="CB155" s="43"/>
      <c r="CC155" s="43"/>
      <c r="CD155" s="43"/>
      <c r="CE155" s="43"/>
      <c r="CF155" s="43"/>
      <c r="CG155" s="53"/>
      <c r="CH155" s="52"/>
      <c r="CI155" s="43"/>
      <c r="CJ155" s="43"/>
      <c r="CK155" s="43"/>
      <c r="CL155" s="43"/>
      <c r="CM155" s="43"/>
      <c r="CN155" s="43"/>
      <c r="CO155" s="43"/>
      <c r="CP155" s="43"/>
      <c r="CQ155" s="43"/>
      <c r="CR155" s="43"/>
      <c r="CS155" s="43"/>
      <c r="CT155" s="43"/>
      <c r="CU155" s="43"/>
      <c r="CV155" s="43">
        <v>24.95</v>
      </c>
      <c r="CW155" s="43"/>
      <c r="CX155" s="43"/>
      <c r="CY155" s="43"/>
      <c r="CZ155" s="7"/>
      <c r="DA155" s="7"/>
      <c r="DB155" s="43"/>
      <c r="DC155" s="43"/>
      <c r="DD155" s="53"/>
      <c r="DE155" s="73">
        <f t="shared" si="37"/>
        <v>0</v>
      </c>
      <c r="DG155" s="52"/>
      <c r="DH155" s="43"/>
      <c r="DI155" s="50">
        <f t="shared" si="38"/>
        <v>6790.663333333332</v>
      </c>
      <c r="DK155" s="52"/>
      <c r="DL155" s="43"/>
      <c r="DM155" s="50">
        <f t="shared" si="39"/>
        <v>4349.0100000000011</v>
      </c>
      <c r="DO155" s="52"/>
      <c r="DP155" s="43">
        <v>24.95</v>
      </c>
      <c r="DQ155" s="50">
        <f t="shared" si="40"/>
        <v>8158.6100000000033</v>
      </c>
      <c r="DT155" s="52"/>
      <c r="DU155" s="43"/>
      <c r="DV155" s="50">
        <f t="shared" si="41"/>
        <v>518.19000000000005</v>
      </c>
      <c r="DX155" s="52"/>
      <c r="DY155" s="43"/>
      <c r="DZ155" s="53">
        <f t="shared" si="42"/>
        <v>367.43999999999994</v>
      </c>
      <c r="EB155" s="52"/>
      <c r="EC155" s="43"/>
      <c r="ED155" s="53">
        <f t="shared" si="43"/>
        <v>500</v>
      </c>
      <c r="EF155" s="52"/>
      <c r="EG155" s="43"/>
      <c r="EH155" s="53">
        <f t="shared" si="44"/>
        <v>1048.04</v>
      </c>
      <c r="EJ155" s="65"/>
      <c r="EK155" s="7"/>
      <c r="EL155" s="53">
        <f t="shared" si="45"/>
        <v>25.299999999999997</v>
      </c>
      <c r="EN155" s="51">
        <f t="shared" si="46"/>
        <v>-5786.2733333333181</v>
      </c>
      <c r="EP155" s="60">
        <f t="shared" si="47"/>
        <v>0</v>
      </c>
      <c r="EQ155" s="61">
        <f t="shared" si="48"/>
        <v>0</v>
      </c>
      <c r="ER155" s="15">
        <f t="shared" si="49"/>
        <v>0</v>
      </c>
      <c r="ES155" s="163">
        <f t="shared" si="50"/>
        <v>0</v>
      </c>
      <c r="EU155">
        <v>145</v>
      </c>
    </row>
    <row r="156" spans="1:151" s="74" customFormat="1" x14ac:dyDescent="0.45">
      <c r="A156" s="67">
        <v>45572</v>
      </c>
      <c r="B156" s="25" t="s">
        <v>850</v>
      </c>
      <c r="C156" s="10" t="s">
        <v>634</v>
      </c>
      <c r="D156" s="7"/>
      <c r="E156" s="43"/>
      <c r="F156" s="43">
        <v>0.01</v>
      </c>
      <c r="G156" s="16">
        <f t="shared" si="36"/>
        <v>15970.970000000019</v>
      </c>
      <c r="H156" s="64" t="s">
        <v>625</v>
      </c>
      <c r="I156" s="52"/>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53"/>
      <c r="AS156" s="52"/>
      <c r="AT156" s="43"/>
      <c r="AU156" s="43"/>
      <c r="AV156" s="43"/>
      <c r="AW156" s="43"/>
      <c r="AX156" s="43"/>
      <c r="AY156" s="43"/>
      <c r="AZ156" s="43"/>
      <c r="BA156" s="43">
        <v>0.01</v>
      </c>
      <c r="BB156" s="43"/>
      <c r="BC156" s="43"/>
      <c r="BD156" s="43"/>
      <c r="BE156" s="43"/>
      <c r="BF156" s="43"/>
      <c r="BG156" s="43"/>
      <c r="BH156" s="43"/>
      <c r="BI156" s="43"/>
      <c r="BJ156" s="43"/>
      <c r="BK156" s="43"/>
      <c r="BL156" s="43"/>
      <c r="BM156" s="43"/>
      <c r="BN156" s="43"/>
      <c r="BO156" s="43"/>
      <c r="BP156" s="43"/>
      <c r="BQ156" s="43"/>
      <c r="BR156" s="43"/>
      <c r="BS156" s="43"/>
      <c r="BT156" s="43"/>
      <c r="BU156" s="43"/>
      <c r="BV156" s="43"/>
      <c r="BW156" s="53"/>
      <c r="BX156" s="30">
        <f t="shared" si="35"/>
        <v>0</v>
      </c>
      <c r="BY156" s="52"/>
      <c r="BZ156" s="43"/>
      <c r="CA156" s="43"/>
      <c r="CB156" s="43"/>
      <c r="CC156" s="43"/>
      <c r="CD156" s="43"/>
      <c r="CE156" s="43"/>
      <c r="CF156" s="43"/>
      <c r="CG156" s="53"/>
      <c r="CH156" s="52"/>
      <c r="CI156" s="43"/>
      <c r="CJ156" s="43"/>
      <c r="CK156" s="43"/>
      <c r="CL156" s="43"/>
      <c r="CM156" s="43"/>
      <c r="CN156" s="43"/>
      <c r="CO156" s="43"/>
      <c r="CP156" s="43"/>
      <c r="CQ156" s="43"/>
      <c r="CR156" s="43"/>
      <c r="CS156" s="43"/>
      <c r="CT156" s="43"/>
      <c r="CU156" s="43"/>
      <c r="CV156" s="43"/>
      <c r="CW156" s="43"/>
      <c r="CX156" s="43"/>
      <c r="CY156" s="43"/>
      <c r="CZ156" s="7"/>
      <c r="DA156" s="7"/>
      <c r="DB156" s="43">
        <v>0.01</v>
      </c>
      <c r="DC156" s="43"/>
      <c r="DD156" s="53"/>
      <c r="DE156" s="73">
        <f t="shared" si="37"/>
        <v>0</v>
      </c>
      <c r="DF156" s="15"/>
      <c r="DG156" s="52"/>
      <c r="DH156" s="43"/>
      <c r="DI156" s="50">
        <f t="shared" si="38"/>
        <v>6790.663333333332</v>
      </c>
      <c r="DJ156" s="15"/>
      <c r="DK156" s="52"/>
      <c r="DL156" s="43"/>
      <c r="DM156" s="50">
        <f t="shared" si="39"/>
        <v>4349.0100000000011</v>
      </c>
      <c r="DN156" s="15"/>
      <c r="DO156" s="52"/>
      <c r="DP156" s="43"/>
      <c r="DQ156" s="50">
        <f t="shared" si="40"/>
        <v>8158.6100000000033</v>
      </c>
      <c r="DR156" s="15"/>
      <c r="DS156" s="15"/>
      <c r="DT156" s="52"/>
      <c r="DU156" s="43">
        <v>0.01</v>
      </c>
      <c r="DV156" s="50">
        <f t="shared" si="41"/>
        <v>518.18000000000006</v>
      </c>
      <c r="DW156" s="15"/>
      <c r="DX156" s="52"/>
      <c r="DY156" s="43"/>
      <c r="DZ156" s="53">
        <f t="shared" si="42"/>
        <v>367.43999999999994</v>
      </c>
      <c r="EA156" s="15"/>
      <c r="EB156" s="52"/>
      <c r="EC156" s="43"/>
      <c r="ED156" s="53">
        <f t="shared" si="43"/>
        <v>500</v>
      </c>
      <c r="EE156" s="15"/>
      <c r="EF156" s="52"/>
      <c r="EG156" s="43"/>
      <c r="EH156" s="53">
        <f t="shared" si="44"/>
        <v>1048.04</v>
      </c>
      <c r="EI156"/>
      <c r="EJ156" s="65"/>
      <c r="EK156" s="7"/>
      <c r="EL156" s="53">
        <f t="shared" si="45"/>
        <v>25.299999999999997</v>
      </c>
      <c r="EM156"/>
      <c r="EN156" s="51">
        <f t="shared" si="46"/>
        <v>-5786.2733333333181</v>
      </c>
      <c r="EO156"/>
      <c r="EP156" s="60">
        <f t="shared" si="47"/>
        <v>0</v>
      </c>
      <c r="EQ156" s="61">
        <f t="shared" si="48"/>
        <v>0</v>
      </c>
      <c r="ER156" s="15">
        <f t="shared" si="49"/>
        <v>0</v>
      </c>
      <c r="ES156" s="62">
        <f t="shared" si="50"/>
        <v>0</v>
      </c>
      <c r="ET156"/>
      <c r="EU156" s="6">
        <v>146</v>
      </c>
    </row>
    <row r="157" spans="1:151" x14ac:dyDescent="0.45">
      <c r="A157" s="67">
        <v>45574</v>
      </c>
      <c r="B157" s="25" t="s">
        <v>851</v>
      </c>
      <c r="C157" s="10" t="s">
        <v>633</v>
      </c>
      <c r="D157" s="7"/>
      <c r="E157" s="43">
        <v>25</v>
      </c>
      <c r="F157" s="43"/>
      <c r="G157" s="16">
        <f t="shared" si="36"/>
        <v>15995.970000000019</v>
      </c>
      <c r="H157" s="64" t="s">
        <v>625</v>
      </c>
      <c r="I157" s="52"/>
      <c r="J157" s="43"/>
      <c r="K157" s="43"/>
      <c r="L157" s="43"/>
      <c r="M157" s="43"/>
      <c r="N157" s="43"/>
      <c r="O157" s="43"/>
      <c r="P157" s="43"/>
      <c r="Q157" s="43"/>
      <c r="R157" s="43"/>
      <c r="S157" s="43"/>
      <c r="T157" s="43"/>
      <c r="U157" s="43"/>
      <c r="V157" s="43">
        <v>25</v>
      </c>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52"/>
      <c r="AT157" s="43"/>
      <c r="AU157" s="43"/>
      <c r="AV157" s="43"/>
      <c r="AW157" s="43"/>
      <c r="AX157" s="43"/>
      <c r="AY157" s="43"/>
      <c r="AZ157" s="43"/>
      <c r="BA157" s="43"/>
      <c r="BB157" s="43"/>
      <c r="BC157" s="43"/>
      <c r="BD157" s="43"/>
      <c r="BE157" s="43"/>
      <c r="BF157" s="43"/>
      <c r="BG157" s="43"/>
      <c r="BH157" s="43"/>
      <c r="BI157" s="43"/>
      <c r="BJ157" s="43"/>
      <c r="BK157" s="43"/>
      <c r="BL157" s="43"/>
      <c r="BM157" s="43"/>
      <c r="BN157" s="43"/>
      <c r="BO157" s="43"/>
      <c r="BP157" s="43"/>
      <c r="BQ157" s="43"/>
      <c r="BR157" s="43"/>
      <c r="BS157" s="43"/>
      <c r="BT157" s="43"/>
      <c r="BU157" s="43"/>
      <c r="BV157" s="43"/>
      <c r="BW157" s="53"/>
      <c r="BX157" s="30">
        <f t="shared" si="35"/>
        <v>0</v>
      </c>
      <c r="BY157" s="52"/>
      <c r="BZ157" s="43"/>
      <c r="CA157" s="43"/>
      <c r="CB157" s="77"/>
      <c r="CC157" s="43"/>
      <c r="CD157" s="43"/>
      <c r="CE157" s="77"/>
      <c r="CF157" s="43"/>
      <c r="CG157" s="64">
        <v>25</v>
      </c>
      <c r="CH157" s="52"/>
      <c r="CI157" s="43"/>
      <c r="CJ157" s="43"/>
      <c r="CK157" s="43"/>
      <c r="CL157" s="43"/>
      <c r="CM157" s="43"/>
      <c r="CN157" s="43"/>
      <c r="CO157" s="43"/>
      <c r="CP157" s="43"/>
      <c r="CQ157" s="43"/>
      <c r="CR157" s="43"/>
      <c r="CS157" s="43"/>
      <c r="CT157" s="43"/>
      <c r="CU157" s="43"/>
      <c r="CV157" s="43"/>
      <c r="CW157" s="43"/>
      <c r="CX157" s="43"/>
      <c r="CY157" s="43"/>
      <c r="CZ157" s="7"/>
      <c r="DA157" s="7"/>
      <c r="DB157" s="43"/>
      <c r="DC157" s="43"/>
      <c r="DD157" s="53"/>
      <c r="DE157" s="73">
        <f t="shared" si="37"/>
        <v>0</v>
      </c>
      <c r="DG157" s="52"/>
      <c r="DH157" s="43"/>
      <c r="DI157" s="50">
        <f t="shared" si="38"/>
        <v>6790.663333333332</v>
      </c>
      <c r="DK157" s="52"/>
      <c r="DL157" s="43"/>
      <c r="DM157" s="50">
        <f t="shared" si="39"/>
        <v>4349.0100000000011</v>
      </c>
      <c r="DO157" s="52"/>
      <c r="DP157" s="43"/>
      <c r="DQ157" s="50">
        <f t="shared" si="40"/>
        <v>8158.6100000000033</v>
      </c>
      <c r="DT157" s="52"/>
      <c r="DU157" s="43"/>
      <c r="DV157" s="50">
        <f t="shared" si="41"/>
        <v>518.18000000000006</v>
      </c>
      <c r="DX157" s="52">
        <v>25</v>
      </c>
      <c r="DY157" s="43"/>
      <c r="DZ157" s="53">
        <f t="shared" si="42"/>
        <v>392.43999999999994</v>
      </c>
      <c r="EB157" s="52"/>
      <c r="EC157" s="43"/>
      <c r="ED157" s="53">
        <f t="shared" si="43"/>
        <v>500</v>
      </c>
      <c r="EF157" s="52"/>
      <c r="EG157" s="43"/>
      <c r="EH157" s="53">
        <f t="shared" si="44"/>
        <v>1048.04</v>
      </c>
      <c r="EJ157" s="65"/>
      <c r="EK157" s="7"/>
      <c r="EL157" s="53">
        <f t="shared" si="45"/>
        <v>25.299999999999997</v>
      </c>
      <c r="EN157" s="51">
        <f t="shared" si="46"/>
        <v>-5786.2733333333181</v>
      </c>
      <c r="EP157" s="60">
        <f t="shared" si="47"/>
        <v>0</v>
      </c>
      <c r="EQ157" s="61">
        <f t="shared" si="48"/>
        <v>0</v>
      </c>
      <c r="ER157" s="15">
        <f t="shared" si="49"/>
        <v>0</v>
      </c>
      <c r="ES157" s="163">
        <f t="shared" si="50"/>
        <v>0</v>
      </c>
      <c r="EU157">
        <v>147</v>
      </c>
    </row>
    <row r="158" spans="1:151" x14ac:dyDescent="0.45">
      <c r="A158" s="67">
        <v>45574</v>
      </c>
      <c r="B158" s="25" t="s">
        <v>852</v>
      </c>
      <c r="C158" s="10" t="s">
        <v>633</v>
      </c>
      <c r="D158" s="7"/>
      <c r="E158" s="43">
        <v>40</v>
      </c>
      <c r="F158" s="43"/>
      <c r="G158" s="16">
        <f t="shared" si="36"/>
        <v>16035.970000000019</v>
      </c>
      <c r="H158" s="64" t="s">
        <v>625</v>
      </c>
      <c r="I158" s="52"/>
      <c r="J158" s="43"/>
      <c r="K158" s="43"/>
      <c r="L158" s="43"/>
      <c r="M158" s="43"/>
      <c r="N158" s="43"/>
      <c r="O158" s="43"/>
      <c r="P158" s="43"/>
      <c r="Q158" s="43"/>
      <c r="R158" s="43"/>
      <c r="S158" s="43"/>
      <c r="T158" s="43"/>
      <c r="U158" s="43"/>
      <c r="V158" s="43">
        <v>40</v>
      </c>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53"/>
      <c r="AS158" s="52"/>
      <c r="AT158" s="43"/>
      <c r="AU158" s="43"/>
      <c r="AV158" s="43"/>
      <c r="AW158" s="43"/>
      <c r="AX158" s="43"/>
      <c r="AY158" s="43"/>
      <c r="AZ158" s="43"/>
      <c r="BA158" s="43"/>
      <c r="BB158" s="43"/>
      <c r="BC158" s="43"/>
      <c r="BD158" s="43"/>
      <c r="BE158" s="43"/>
      <c r="BF158" s="43"/>
      <c r="BG158" s="43"/>
      <c r="BH158" s="43"/>
      <c r="BI158" s="43"/>
      <c r="BJ158" s="43"/>
      <c r="BK158" s="43"/>
      <c r="BL158" s="43"/>
      <c r="BM158" s="43"/>
      <c r="BN158" s="43"/>
      <c r="BO158" s="43"/>
      <c r="BP158" s="43"/>
      <c r="BQ158" s="43"/>
      <c r="BR158" s="43"/>
      <c r="BS158" s="43"/>
      <c r="BT158" s="43"/>
      <c r="BU158" s="43"/>
      <c r="BV158" s="43"/>
      <c r="BW158" s="53"/>
      <c r="BX158" s="30">
        <f t="shared" si="35"/>
        <v>0</v>
      </c>
      <c r="BY158" s="52"/>
      <c r="BZ158" s="43"/>
      <c r="CA158" s="43"/>
      <c r="CB158" s="43"/>
      <c r="CC158" s="43"/>
      <c r="CD158" s="43"/>
      <c r="CE158" s="43"/>
      <c r="CF158" s="43"/>
      <c r="CG158" s="53">
        <v>40</v>
      </c>
      <c r="CH158" s="52"/>
      <c r="CI158" s="43"/>
      <c r="CJ158" s="43"/>
      <c r="CK158" s="43"/>
      <c r="CL158" s="43"/>
      <c r="CM158" s="43"/>
      <c r="CN158" s="43"/>
      <c r="CO158" s="43"/>
      <c r="CP158" s="43"/>
      <c r="CQ158" s="43"/>
      <c r="CR158" s="43"/>
      <c r="CS158" s="43"/>
      <c r="CT158" s="43"/>
      <c r="CU158" s="43"/>
      <c r="CV158" s="43"/>
      <c r="CW158" s="43"/>
      <c r="CX158" s="43"/>
      <c r="CY158" s="43"/>
      <c r="CZ158" s="7"/>
      <c r="DA158" s="7"/>
      <c r="DB158" s="43"/>
      <c r="DC158" s="43"/>
      <c r="DD158" s="53"/>
      <c r="DE158" s="73">
        <f t="shared" si="37"/>
        <v>0</v>
      </c>
      <c r="DG158" s="52"/>
      <c r="DH158" s="43"/>
      <c r="DI158" s="50">
        <f t="shared" si="38"/>
        <v>6790.663333333332</v>
      </c>
      <c r="DK158" s="52"/>
      <c r="DL158" s="43"/>
      <c r="DM158" s="50">
        <f t="shared" si="39"/>
        <v>4349.0100000000011</v>
      </c>
      <c r="DO158" s="52"/>
      <c r="DP158" s="43"/>
      <c r="DQ158" s="53">
        <f t="shared" si="40"/>
        <v>8158.6100000000033</v>
      </c>
      <c r="DT158" s="52"/>
      <c r="DU158" s="43"/>
      <c r="DV158" s="50">
        <f t="shared" si="41"/>
        <v>518.18000000000006</v>
      </c>
      <c r="DX158" s="52">
        <v>40</v>
      </c>
      <c r="DY158" s="43"/>
      <c r="DZ158" s="53">
        <f t="shared" si="42"/>
        <v>432.43999999999994</v>
      </c>
      <c r="EB158" s="52"/>
      <c r="EC158" s="43"/>
      <c r="ED158" s="53">
        <f t="shared" si="43"/>
        <v>500</v>
      </c>
      <c r="EF158" s="52"/>
      <c r="EG158" s="43"/>
      <c r="EH158" s="53">
        <f t="shared" si="44"/>
        <v>1048.04</v>
      </c>
      <c r="EJ158" s="65"/>
      <c r="EK158" s="7"/>
      <c r="EL158" s="53">
        <f t="shared" si="45"/>
        <v>25.299999999999997</v>
      </c>
      <c r="EN158" s="51">
        <f t="shared" si="46"/>
        <v>-5786.2733333333181</v>
      </c>
      <c r="EP158" s="60">
        <f t="shared" si="47"/>
        <v>0</v>
      </c>
      <c r="EQ158" s="61">
        <f t="shared" si="48"/>
        <v>0</v>
      </c>
      <c r="ER158" s="15">
        <f t="shared" si="49"/>
        <v>0</v>
      </c>
      <c r="ES158" s="62">
        <f t="shared" si="50"/>
        <v>0</v>
      </c>
      <c r="EU158" s="6">
        <v>148</v>
      </c>
    </row>
    <row r="159" spans="1:151" x14ac:dyDescent="0.45">
      <c r="A159" s="67">
        <v>45575</v>
      </c>
      <c r="B159" s="25" t="s">
        <v>748</v>
      </c>
      <c r="C159" s="10" t="s">
        <v>853</v>
      </c>
      <c r="D159" s="7"/>
      <c r="E159" s="43">
        <v>45</v>
      </c>
      <c r="F159" s="43">
        <v>1.47</v>
      </c>
      <c r="G159" s="16">
        <f t="shared" si="36"/>
        <v>16079.50000000002</v>
      </c>
      <c r="H159" s="64" t="s">
        <v>625</v>
      </c>
      <c r="I159" s="52"/>
      <c r="J159" s="43"/>
      <c r="K159" s="43"/>
      <c r="L159" s="43"/>
      <c r="M159" s="43"/>
      <c r="N159" s="43"/>
      <c r="O159" s="43"/>
      <c r="P159" s="43"/>
      <c r="Q159" s="43"/>
      <c r="R159" s="43"/>
      <c r="S159" s="43"/>
      <c r="T159" s="43"/>
      <c r="U159" s="43"/>
      <c r="V159" s="43"/>
      <c r="W159" s="43"/>
      <c r="X159" s="43"/>
      <c r="Y159" s="43">
        <v>45</v>
      </c>
      <c r="Z159" s="43"/>
      <c r="AA159" s="43"/>
      <c r="AB159" s="43"/>
      <c r="AC159" s="43"/>
      <c r="AD159" s="43"/>
      <c r="AE159" s="43"/>
      <c r="AF159" s="43"/>
      <c r="AG159" s="43"/>
      <c r="AH159" s="43"/>
      <c r="AI159" s="43"/>
      <c r="AJ159" s="43"/>
      <c r="AK159" s="43"/>
      <c r="AL159" s="43"/>
      <c r="AM159" s="43"/>
      <c r="AN159" s="43"/>
      <c r="AO159" s="43"/>
      <c r="AP159" s="43"/>
      <c r="AQ159" s="43"/>
      <c r="AR159" s="53"/>
      <c r="AS159" s="52"/>
      <c r="AT159" s="43"/>
      <c r="AU159" s="43"/>
      <c r="AV159" s="43"/>
      <c r="AW159" s="43"/>
      <c r="AX159" s="43"/>
      <c r="AY159" s="43">
        <v>1.47</v>
      </c>
      <c r="AZ159" s="43"/>
      <c r="BA159" s="43"/>
      <c r="BB159" s="43"/>
      <c r="BC159" s="43"/>
      <c r="BD159" s="43"/>
      <c r="BE159" s="43"/>
      <c r="BF159" s="43"/>
      <c r="BG159" s="43"/>
      <c r="BH159" s="43"/>
      <c r="BI159" s="43"/>
      <c r="BJ159" s="43"/>
      <c r="BK159" s="43"/>
      <c r="BL159" s="43"/>
      <c r="BM159" s="43"/>
      <c r="BN159" s="43"/>
      <c r="BO159" s="43"/>
      <c r="BP159" s="43"/>
      <c r="BQ159" s="43"/>
      <c r="BR159" s="43"/>
      <c r="BS159" s="43"/>
      <c r="BT159" s="43"/>
      <c r="BU159" s="43"/>
      <c r="BV159" s="43"/>
      <c r="BW159" s="53"/>
      <c r="BX159" s="30">
        <f t="shared" si="35"/>
        <v>0</v>
      </c>
      <c r="BY159" s="52"/>
      <c r="BZ159" s="43">
        <v>45</v>
      </c>
      <c r="CA159" s="43"/>
      <c r="CB159" s="43"/>
      <c r="CC159" s="43"/>
      <c r="CD159" s="43"/>
      <c r="CE159" s="43"/>
      <c r="CF159" s="43"/>
      <c r="CG159" s="53"/>
      <c r="CH159" s="52"/>
      <c r="CI159" s="43"/>
      <c r="CJ159" s="43"/>
      <c r="CK159" s="43"/>
      <c r="CL159" s="43"/>
      <c r="CM159" s="43"/>
      <c r="CN159" s="43"/>
      <c r="CO159" s="43"/>
      <c r="CP159" s="43"/>
      <c r="CQ159" s="43"/>
      <c r="CR159" s="43"/>
      <c r="CS159" s="43"/>
      <c r="CT159" s="43"/>
      <c r="CU159" s="43"/>
      <c r="CV159" s="43"/>
      <c r="CW159" s="43"/>
      <c r="CX159" s="43"/>
      <c r="CY159" s="43"/>
      <c r="CZ159" s="7"/>
      <c r="DA159" s="7"/>
      <c r="DB159" s="43">
        <v>1.47</v>
      </c>
      <c r="DC159" s="43"/>
      <c r="DD159" s="53"/>
      <c r="DE159" s="73">
        <f t="shared" si="37"/>
        <v>0</v>
      </c>
      <c r="DG159" s="52"/>
      <c r="DH159" s="43"/>
      <c r="DI159" s="50">
        <f t="shared" si="38"/>
        <v>6790.663333333332</v>
      </c>
      <c r="DK159" s="52">
        <v>45</v>
      </c>
      <c r="DL159" s="43">
        <v>1.47</v>
      </c>
      <c r="DM159" s="50">
        <f t="shared" si="39"/>
        <v>4392.5400000000009</v>
      </c>
      <c r="DO159" s="52"/>
      <c r="DP159" s="43"/>
      <c r="DQ159" s="50">
        <f t="shared" si="40"/>
        <v>8158.6100000000033</v>
      </c>
      <c r="DT159" s="52"/>
      <c r="DU159" s="43"/>
      <c r="DV159" s="50">
        <f t="shared" si="41"/>
        <v>518.18000000000006</v>
      </c>
      <c r="DX159" s="52"/>
      <c r="DY159" s="43"/>
      <c r="DZ159" s="53">
        <f t="shared" si="42"/>
        <v>432.43999999999994</v>
      </c>
      <c r="EB159" s="52"/>
      <c r="EC159" s="43"/>
      <c r="ED159" s="53">
        <f t="shared" si="43"/>
        <v>500</v>
      </c>
      <c r="EF159" s="52"/>
      <c r="EG159" s="43"/>
      <c r="EH159" s="53">
        <f t="shared" si="44"/>
        <v>1048.04</v>
      </c>
      <c r="EJ159" s="65"/>
      <c r="EK159" s="7"/>
      <c r="EL159" s="53">
        <f t="shared" si="45"/>
        <v>25.299999999999997</v>
      </c>
      <c r="EN159" s="51">
        <f t="shared" si="46"/>
        <v>-5786.2733333333163</v>
      </c>
      <c r="EP159" s="60">
        <f t="shared" si="47"/>
        <v>0</v>
      </c>
      <c r="EQ159" s="61">
        <f t="shared" si="48"/>
        <v>0</v>
      </c>
      <c r="ER159" s="15">
        <f t="shared" si="49"/>
        <v>0</v>
      </c>
      <c r="ES159" s="163">
        <f t="shared" si="50"/>
        <v>0</v>
      </c>
      <c r="EU159">
        <v>149</v>
      </c>
    </row>
    <row r="160" spans="1:151" x14ac:dyDescent="0.45">
      <c r="A160" s="67">
        <v>45579</v>
      </c>
      <c r="B160" s="25" t="s">
        <v>855</v>
      </c>
      <c r="C160" s="10" t="s">
        <v>633</v>
      </c>
      <c r="D160" s="7"/>
      <c r="E160" s="43">
        <v>131.31</v>
      </c>
      <c r="F160" s="43"/>
      <c r="G160" s="16">
        <f t="shared" si="36"/>
        <v>16210.810000000019</v>
      </c>
      <c r="H160" s="64" t="s">
        <v>625</v>
      </c>
      <c r="I160" s="52"/>
      <c r="J160" s="43"/>
      <c r="K160" s="43"/>
      <c r="L160" s="43"/>
      <c r="M160" s="43"/>
      <c r="N160" s="43"/>
      <c r="O160" s="43"/>
      <c r="P160" s="43"/>
      <c r="Q160" s="43"/>
      <c r="R160" s="43"/>
      <c r="S160" s="43"/>
      <c r="T160" s="43"/>
      <c r="U160" s="43"/>
      <c r="V160" s="43">
        <v>131.31</v>
      </c>
      <c r="W160" s="43"/>
      <c r="X160" s="43"/>
      <c r="Y160" s="43"/>
      <c r="Z160" s="43"/>
      <c r="AA160" s="43"/>
      <c r="AB160" s="43"/>
      <c r="AC160" s="43"/>
      <c r="AD160" s="68"/>
      <c r="AE160" s="68"/>
      <c r="AF160" s="68"/>
      <c r="AG160" s="68"/>
      <c r="AH160" s="68"/>
      <c r="AI160" s="68"/>
      <c r="AJ160" s="68"/>
      <c r="AK160" s="68"/>
      <c r="AL160" s="68"/>
      <c r="AM160" s="68"/>
      <c r="AN160" s="68"/>
      <c r="AO160" s="68"/>
      <c r="AP160" s="68"/>
      <c r="AQ160" s="68"/>
      <c r="AR160" s="224"/>
      <c r="AS160" s="52"/>
      <c r="AT160" s="43"/>
      <c r="AU160" s="43"/>
      <c r="AV160" s="43"/>
      <c r="AW160" s="43"/>
      <c r="AX160" s="43"/>
      <c r="AY160" s="43"/>
      <c r="AZ160" s="43"/>
      <c r="BA160" s="43"/>
      <c r="BB160" s="43"/>
      <c r="BC160" s="43"/>
      <c r="BD160" s="43"/>
      <c r="BE160" s="43"/>
      <c r="BF160" s="43"/>
      <c r="BG160" s="43"/>
      <c r="BH160" s="43"/>
      <c r="BI160" s="43"/>
      <c r="BJ160" s="43"/>
      <c r="BK160" s="43"/>
      <c r="BL160" s="43"/>
      <c r="BM160" s="43"/>
      <c r="BN160" s="43"/>
      <c r="BO160" s="43"/>
      <c r="BP160" s="43"/>
      <c r="BQ160" s="43"/>
      <c r="BR160" s="43"/>
      <c r="BS160" s="43"/>
      <c r="BT160" s="43"/>
      <c r="BU160" s="43"/>
      <c r="BV160" s="43"/>
      <c r="BW160" s="53"/>
      <c r="BX160" s="30">
        <f t="shared" si="35"/>
        <v>0</v>
      </c>
      <c r="BY160" s="52"/>
      <c r="BZ160" s="43"/>
      <c r="CA160" s="43"/>
      <c r="CB160" s="43"/>
      <c r="CC160" s="43"/>
      <c r="CD160" s="43"/>
      <c r="CE160" s="43"/>
      <c r="CF160" s="43"/>
      <c r="CG160" s="53">
        <v>131.31</v>
      </c>
      <c r="CH160" s="52"/>
      <c r="CI160" s="43"/>
      <c r="CJ160" s="43"/>
      <c r="CK160" s="43"/>
      <c r="CL160" s="43"/>
      <c r="CM160" s="43"/>
      <c r="CN160" s="43"/>
      <c r="CO160" s="43"/>
      <c r="CP160" s="43"/>
      <c r="CQ160" s="43"/>
      <c r="CR160" s="43"/>
      <c r="CS160" s="43"/>
      <c r="CT160" s="43"/>
      <c r="CU160" s="43"/>
      <c r="CV160" s="43"/>
      <c r="CW160" s="43"/>
      <c r="CX160" s="43"/>
      <c r="CY160" s="43"/>
      <c r="CZ160" s="43"/>
      <c r="DA160" s="43"/>
      <c r="DB160" s="43"/>
      <c r="DC160" s="43"/>
      <c r="DD160" s="53"/>
      <c r="DE160" s="73">
        <f t="shared" si="37"/>
        <v>0</v>
      </c>
      <c r="DG160" s="52"/>
      <c r="DH160" s="43"/>
      <c r="DI160" s="50">
        <f t="shared" si="38"/>
        <v>6790.663333333332</v>
      </c>
      <c r="DK160" s="52"/>
      <c r="DL160" s="43"/>
      <c r="DM160" s="50">
        <f t="shared" si="39"/>
        <v>4392.5400000000009</v>
      </c>
      <c r="DO160" s="52"/>
      <c r="DP160" s="43"/>
      <c r="DQ160" s="50">
        <f t="shared" si="40"/>
        <v>8158.6100000000033</v>
      </c>
      <c r="DT160" s="52"/>
      <c r="DU160" s="43"/>
      <c r="DV160" s="50">
        <f t="shared" si="41"/>
        <v>518.18000000000006</v>
      </c>
      <c r="DX160" s="52">
        <v>131.31</v>
      </c>
      <c r="DY160" s="43"/>
      <c r="DZ160" s="53">
        <f t="shared" si="42"/>
        <v>563.75</v>
      </c>
      <c r="EB160" s="52"/>
      <c r="EC160" s="43"/>
      <c r="ED160" s="53">
        <f t="shared" si="43"/>
        <v>500</v>
      </c>
      <c r="EF160" s="52"/>
      <c r="EG160" s="43"/>
      <c r="EH160" s="53">
        <f t="shared" si="44"/>
        <v>1048.04</v>
      </c>
      <c r="EJ160" s="65"/>
      <c r="EK160" s="7"/>
      <c r="EL160" s="53">
        <f t="shared" si="45"/>
        <v>25.299999999999997</v>
      </c>
      <c r="EN160" s="51">
        <f t="shared" si="46"/>
        <v>-5786.2733333333172</v>
      </c>
      <c r="EP160" s="60">
        <f t="shared" si="47"/>
        <v>0</v>
      </c>
      <c r="EQ160" s="61">
        <f t="shared" si="48"/>
        <v>0</v>
      </c>
      <c r="ER160" s="15">
        <f t="shared" si="49"/>
        <v>0</v>
      </c>
      <c r="ES160" s="163">
        <f t="shared" si="50"/>
        <v>0</v>
      </c>
      <c r="EU160">
        <v>151</v>
      </c>
    </row>
    <row r="161" spans="1:151" x14ac:dyDescent="0.45">
      <c r="A161" s="67">
        <v>45579</v>
      </c>
      <c r="B161" s="25" t="s">
        <v>855</v>
      </c>
      <c r="C161" s="10" t="s">
        <v>633</v>
      </c>
      <c r="D161" s="7"/>
      <c r="E161" s="43">
        <v>14.74</v>
      </c>
      <c r="F161" s="43"/>
      <c r="G161" s="16">
        <f t="shared" si="36"/>
        <v>16225.550000000019</v>
      </c>
      <c r="H161" s="64" t="s">
        <v>625</v>
      </c>
      <c r="I161" s="52"/>
      <c r="J161" s="43"/>
      <c r="K161" s="43"/>
      <c r="L161" s="43"/>
      <c r="M161" s="43"/>
      <c r="N161" s="43"/>
      <c r="O161" s="43"/>
      <c r="P161" s="43"/>
      <c r="Q161" s="43"/>
      <c r="R161" s="43"/>
      <c r="S161" s="43"/>
      <c r="T161" s="43"/>
      <c r="U161" s="43"/>
      <c r="V161" s="43">
        <v>14.74</v>
      </c>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53"/>
      <c r="AS161" s="52"/>
      <c r="AT161" s="43"/>
      <c r="AU161" s="43"/>
      <c r="AV161" s="43"/>
      <c r="AW161" s="43"/>
      <c r="AX161" s="43"/>
      <c r="AY161" s="43"/>
      <c r="AZ161" s="43"/>
      <c r="BA161" s="43"/>
      <c r="BB161" s="43"/>
      <c r="BC161" s="43"/>
      <c r="BD161" s="43"/>
      <c r="BE161" s="43"/>
      <c r="BF161" s="43"/>
      <c r="BG161" s="43"/>
      <c r="BH161" s="43"/>
      <c r="BI161" s="43"/>
      <c r="BJ161" s="43"/>
      <c r="BK161" s="43"/>
      <c r="BL161" s="43"/>
      <c r="BM161" s="43"/>
      <c r="BN161" s="43"/>
      <c r="BO161" s="43"/>
      <c r="BP161" s="43"/>
      <c r="BQ161" s="43"/>
      <c r="BR161" s="43"/>
      <c r="BS161" s="43"/>
      <c r="BT161" s="43"/>
      <c r="BU161" s="43"/>
      <c r="BV161" s="43"/>
      <c r="BW161" s="53"/>
      <c r="BX161" s="30">
        <f t="shared" si="35"/>
        <v>0</v>
      </c>
      <c r="BY161" s="52"/>
      <c r="BZ161" s="43"/>
      <c r="CA161" s="43"/>
      <c r="CB161" s="43"/>
      <c r="CC161" s="43"/>
      <c r="CD161" s="43"/>
      <c r="CE161" s="43"/>
      <c r="CF161" s="43"/>
      <c r="CG161" s="53">
        <v>14.74</v>
      </c>
      <c r="CH161" s="52"/>
      <c r="CI161" s="43"/>
      <c r="CJ161" s="43"/>
      <c r="CK161" s="43"/>
      <c r="CL161" s="43"/>
      <c r="CM161" s="43"/>
      <c r="CN161" s="43"/>
      <c r="CO161" s="43"/>
      <c r="CP161" s="43"/>
      <c r="CQ161" s="43"/>
      <c r="CR161" s="43"/>
      <c r="CS161" s="43"/>
      <c r="CT161" s="43"/>
      <c r="CU161" s="43"/>
      <c r="CV161" s="68"/>
      <c r="CW161" s="68"/>
      <c r="CX161" s="43"/>
      <c r="CY161" s="43"/>
      <c r="CZ161" s="80"/>
      <c r="DA161" s="43"/>
      <c r="DB161" s="43"/>
      <c r="DC161" s="43"/>
      <c r="DD161" s="53"/>
      <c r="DE161" s="73">
        <f t="shared" si="37"/>
        <v>0</v>
      </c>
      <c r="DG161" s="52"/>
      <c r="DH161" s="43"/>
      <c r="DI161" s="50">
        <f t="shared" si="38"/>
        <v>6790.663333333332</v>
      </c>
      <c r="DK161" s="52"/>
      <c r="DL161" s="43"/>
      <c r="DM161" s="50">
        <f t="shared" si="39"/>
        <v>4392.5400000000009</v>
      </c>
      <c r="DO161" s="52"/>
      <c r="DP161" s="43"/>
      <c r="DQ161" s="50">
        <f t="shared" si="40"/>
        <v>8158.6100000000033</v>
      </c>
      <c r="DT161" s="52"/>
      <c r="DU161" s="43"/>
      <c r="DV161" s="50">
        <f t="shared" si="41"/>
        <v>518.18000000000006</v>
      </c>
      <c r="DX161" s="52">
        <v>14.74</v>
      </c>
      <c r="DY161" s="43"/>
      <c r="DZ161" s="53">
        <f t="shared" si="42"/>
        <v>578.49</v>
      </c>
      <c r="EB161" s="52"/>
      <c r="EC161" s="43"/>
      <c r="ED161" s="53">
        <f t="shared" si="43"/>
        <v>500</v>
      </c>
      <c r="EF161" s="52"/>
      <c r="EG161" s="43"/>
      <c r="EH161" s="53">
        <f t="shared" si="44"/>
        <v>1048.04</v>
      </c>
      <c r="EJ161" s="65"/>
      <c r="EK161" s="7"/>
      <c r="EL161" s="53">
        <f t="shared" si="45"/>
        <v>25.299999999999997</v>
      </c>
      <c r="EN161" s="51">
        <f t="shared" si="46"/>
        <v>-5786.2733333333172</v>
      </c>
      <c r="EP161" s="60">
        <f t="shared" si="47"/>
        <v>0</v>
      </c>
      <c r="EQ161" s="61">
        <f t="shared" si="48"/>
        <v>0</v>
      </c>
      <c r="ER161" s="15">
        <f t="shared" si="49"/>
        <v>0</v>
      </c>
      <c r="ES161" s="62">
        <f t="shared" si="50"/>
        <v>0</v>
      </c>
      <c r="EU161" s="6">
        <v>152</v>
      </c>
    </row>
    <row r="162" spans="1:151" x14ac:dyDescent="0.45">
      <c r="A162" s="67">
        <v>45581</v>
      </c>
      <c r="B162" s="25" t="s">
        <v>859</v>
      </c>
      <c r="C162" s="10" t="s">
        <v>856</v>
      </c>
      <c r="D162" s="7"/>
      <c r="E162" s="43">
        <v>30</v>
      </c>
      <c r="F162" s="43">
        <f>0.62+0.58</f>
        <v>1.2</v>
      </c>
      <c r="G162" s="16">
        <f t="shared" si="36"/>
        <v>16254.350000000019</v>
      </c>
      <c r="H162" s="64" t="s">
        <v>625</v>
      </c>
      <c r="I162" s="52"/>
      <c r="J162" s="43"/>
      <c r="K162" s="43"/>
      <c r="L162" s="43"/>
      <c r="M162" s="43"/>
      <c r="N162" s="43"/>
      <c r="O162" s="43"/>
      <c r="P162" s="43"/>
      <c r="Q162" s="43"/>
      <c r="R162" s="43"/>
      <c r="S162" s="43"/>
      <c r="T162" s="43"/>
      <c r="U162" s="43"/>
      <c r="V162" s="43"/>
      <c r="W162" s="43"/>
      <c r="X162" s="43"/>
      <c r="Y162" s="43">
        <v>30</v>
      </c>
      <c r="Z162" s="43"/>
      <c r="AA162" s="43"/>
      <c r="AB162" s="43"/>
      <c r="AC162" s="43"/>
      <c r="AD162" s="43"/>
      <c r="AE162" s="43"/>
      <c r="AF162" s="43"/>
      <c r="AG162" s="43"/>
      <c r="AH162" s="43"/>
      <c r="AI162" s="43"/>
      <c r="AJ162" s="43"/>
      <c r="AK162" s="43"/>
      <c r="AL162" s="43"/>
      <c r="AM162" s="43"/>
      <c r="AN162" s="43"/>
      <c r="AO162" s="43"/>
      <c r="AP162" s="43"/>
      <c r="AQ162" s="43"/>
      <c r="AR162" s="53"/>
      <c r="AS162" s="52"/>
      <c r="AT162" s="43"/>
      <c r="AU162" s="43"/>
      <c r="AV162" s="43"/>
      <c r="AW162" s="43"/>
      <c r="AX162" s="43"/>
      <c r="AY162" s="43">
        <v>1.2</v>
      </c>
      <c r="AZ162" s="43"/>
      <c r="BA162" s="43"/>
      <c r="BB162" s="43"/>
      <c r="BC162" s="43"/>
      <c r="BD162" s="43"/>
      <c r="BE162" s="43"/>
      <c r="BF162" s="43"/>
      <c r="BG162" s="43"/>
      <c r="BH162" s="43"/>
      <c r="BI162" s="43"/>
      <c r="BJ162" s="43"/>
      <c r="BK162" s="43"/>
      <c r="BL162" s="43"/>
      <c r="BM162" s="43"/>
      <c r="BN162" s="43"/>
      <c r="BO162" s="43"/>
      <c r="BP162" s="43"/>
      <c r="BQ162" s="43"/>
      <c r="BR162" s="43"/>
      <c r="BS162" s="43"/>
      <c r="BT162" s="43"/>
      <c r="BU162" s="43"/>
      <c r="BV162" s="43"/>
      <c r="BW162" s="53"/>
      <c r="BX162" s="30">
        <f t="shared" si="35"/>
        <v>0</v>
      </c>
      <c r="BY162" s="52"/>
      <c r="BZ162" s="43"/>
      <c r="CA162" s="43"/>
      <c r="CB162" s="43"/>
      <c r="CC162" s="43">
        <v>30</v>
      </c>
      <c r="CD162" s="43"/>
      <c r="CE162" s="43"/>
      <c r="CF162" s="43"/>
      <c r="CG162" s="53"/>
      <c r="CH162" s="52"/>
      <c r="CI162" s="43"/>
      <c r="CJ162" s="43"/>
      <c r="CK162" s="43"/>
      <c r="CL162" s="43"/>
      <c r="CM162" s="43"/>
      <c r="CN162" s="43"/>
      <c r="CO162" s="43"/>
      <c r="CP162" s="43"/>
      <c r="CQ162" s="43"/>
      <c r="CR162" s="43"/>
      <c r="CS162" s="43"/>
      <c r="CT162" s="43"/>
      <c r="CU162" s="43"/>
      <c r="CV162" s="43"/>
      <c r="CW162" s="43"/>
      <c r="CX162" s="43"/>
      <c r="CY162" s="43"/>
      <c r="CZ162" s="7"/>
      <c r="DA162" s="7"/>
      <c r="DB162" s="43">
        <v>1.2</v>
      </c>
      <c r="DC162" s="43"/>
      <c r="DD162" s="53"/>
      <c r="DE162" s="73">
        <f t="shared" si="37"/>
        <v>0</v>
      </c>
      <c r="DG162" s="52"/>
      <c r="DH162" s="43"/>
      <c r="DI162" s="50">
        <f t="shared" si="38"/>
        <v>6790.663333333332</v>
      </c>
      <c r="DK162" s="52">
        <v>30</v>
      </c>
      <c r="DL162" s="43">
        <v>1.2</v>
      </c>
      <c r="DM162" s="50">
        <f t="shared" si="39"/>
        <v>4421.3400000000011</v>
      </c>
      <c r="DO162" s="52"/>
      <c r="DP162" s="43"/>
      <c r="DQ162" s="50">
        <f t="shared" si="40"/>
        <v>8158.6100000000033</v>
      </c>
      <c r="DT162" s="52"/>
      <c r="DU162" s="43"/>
      <c r="DV162" s="50">
        <f t="shared" si="41"/>
        <v>518.18000000000006</v>
      </c>
      <c r="DX162" s="52"/>
      <c r="DY162" s="43"/>
      <c r="DZ162" s="53">
        <f t="shared" si="42"/>
        <v>578.49</v>
      </c>
      <c r="EB162" s="52"/>
      <c r="EC162" s="43"/>
      <c r="ED162" s="53">
        <f t="shared" si="43"/>
        <v>500</v>
      </c>
      <c r="EF162" s="52"/>
      <c r="EG162" s="43"/>
      <c r="EH162" s="53">
        <f t="shared" si="44"/>
        <v>1048.04</v>
      </c>
      <c r="EJ162" s="65"/>
      <c r="EK162" s="7"/>
      <c r="EL162" s="53">
        <f t="shared" si="45"/>
        <v>25.299999999999997</v>
      </c>
      <c r="EN162" s="51">
        <f t="shared" si="46"/>
        <v>-5786.2733333333181</v>
      </c>
      <c r="EP162" s="60">
        <f t="shared" si="47"/>
        <v>0</v>
      </c>
      <c r="EQ162" s="61">
        <f t="shared" si="48"/>
        <v>0</v>
      </c>
      <c r="ER162" s="15">
        <f t="shared" si="49"/>
        <v>0</v>
      </c>
      <c r="ES162" s="163">
        <f t="shared" si="50"/>
        <v>0</v>
      </c>
      <c r="EU162">
        <v>153</v>
      </c>
    </row>
    <row r="163" spans="1:151" x14ac:dyDescent="0.45">
      <c r="A163" s="67">
        <v>45581</v>
      </c>
      <c r="B163" s="25" t="s">
        <v>857</v>
      </c>
      <c r="C163" s="10" t="s">
        <v>540</v>
      </c>
      <c r="D163" s="7"/>
      <c r="E163" s="43"/>
      <c r="F163" s="43">
        <v>339.09</v>
      </c>
      <c r="G163" s="16">
        <f t="shared" si="36"/>
        <v>15915.260000000018</v>
      </c>
      <c r="H163" s="64" t="s">
        <v>625</v>
      </c>
      <c r="I163" s="52"/>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53"/>
      <c r="AS163" s="52"/>
      <c r="AT163" s="43"/>
      <c r="AU163" s="43"/>
      <c r="AV163" s="43"/>
      <c r="AW163" s="43"/>
      <c r="AX163" s="43">
        <v>113.03</v>
      </c>
      <c r="AY163" s="43">
        <v>113.03</v>
      </c>
      <c r="AZ163" s="43">
        <v>113.03</v>
      </c>
      <c r="BA163" s="43"/>
      <c r="BB163" s="43"/>
      <c r="BC163" s="43"/>
      <c r="BD163" s="43"/>
      <c r="BE163" s="43"/>
      <c r="BF163" s="43"/>
      <c r="BG163" s="43"/>
      <c r="BH163" s="43"/>
      <c r="BI163" s="43"/>
      <c r="BJ163" s="43"/>
      <c r="BK163" s="43"/>
      <c r="BL163" s="43"/>
      <c r="BM163" s="43"/>
      <c r="BN163" s="43"/>
      <c r="BO163" s="43"/>
      <c r="BP163" s="43"/>
      <c r="BQ163" s="43"/>
      <c r="BR163" s="43"/>
      <c r="BS163" s="43"/>
      <c r="BT163" s="43"/>
      <c r="BU163" s="43"/>
      <c r="BV163" s="43"/>
      <c r="BW163" s="53"/>
      <c r="BX163" s="30">
        <f t="shared" si="35"/>
        <v>0</v>
      </c>
      <c r="BY163" s="52"/>
      <c r="BZ163" s="43"/>
      <c r="CA163" s="43"/>
      <c r="CB163" s="43"/>
      <c r="CC163" s="43"/>
      <c r="CD163" s="43"/>
      <c r="CE163" s="43"/>
      <c r="CF163" s="43"/>
      <c r="CG163" s="53"/>
      <c r="CH163" s="52"/>
      <c r="CI163" s="43"/>
      <c r="CJ163" s="43"/>
      <c r="CK163" s="43"/>
      <c r="CL163" s="43"/>
      <c r="CM163" s="43"/>
      <c r="CN163" s="43"/>
      <c r="CO163" s="43">
        <v>339.09</v>
      </c>
      <c r="CP163" s="43"/>
      <c r="CQ163" s="43"/>
      <c r="CR163" s="43"/>
      <c r="CS163" s="43"/>
      <c r="CT163" s="43"/>
      <c r="CU163" s="43"/>
      <c r="CV163" s="43"/>
      <c r="CW163" s="43"/>
      <c r="CX163" s="43"/>
      <c r="CY163" s="43"/>
      <c r="CZ163" s="7"/>
      <c r="DA163" s="7"/>
      <c r="DB163" s="43"/>
      <c r="DC163" s="43"/>
      <c r="DD163" s="53"/>
      <c r="DE163" s="73">
        <f t="shared" si="37"/>
        <v>0</v>
      </c>
      <c r="DG163" s="52"/>
      <c r="DH163" s="43">
        <v>113.03</v>
      </c>
      <c r="DI163" s="50">
        <f t="shared" si="38"/>
        <v>6677.6333333333323</v>
      </c>
      <c r="DK163" s="52"/>
      <c r="DL163" s="43">
        <v>113.03</v>
      </c>
      <c r="DM163" s="50">
        <f t="shared" si="39"/>
        <v>4308.3100000000013</v>
      </c>
      <c r="DO163" s="52"/>
      <c r="DP163" s="43">
        <v>113.03</v>
      </c>
      <c r="DQ163" s="50">
        <f t="shared" si="40"/>
        <v>8045.5800000000036</v>
      </c>
      <c r="DT163" s="52"/>
      <c r="DU163" s="43"/>
      <c r="DV163" s="50">
        <f t="shared" si="41"/>
        <v>518.18000000000006</v>
      </c>
      <c r="DX163" s="52"/>
      <c r="DY163" s="43"/>
      <c r="DZ163" s="53">
        <f t="shared" si="42"/>
        <v>578.49</v>
      </c>
      <c r="EB163" s="52"/>
      <c r="EC163" s="43"/>
      <c r="ED163" s="53">
        <f t="shared" si="43"/>
        <v>500</v>
      </c>
      <c r="EF163" s="52"/>
      <c r="EG163" s="43"/>
      <c r="EH163" s="53">
        <f t="shared" si="44"/>
        <v>1048.04</v>
      </c>
      <c r="EJ163" s="65"/>
      <c r="EK163" s="7"/>
      <c r="EL163" s="53">
        <f t="shared" si="45"/>
        <v>25.299999999999997</v>
      </c>
      <c r="EN163" s="51">
        <f t="shared" si="46"/>
        <v>-5786.2733333333199</v>
      </c>
      <c r="EP163" s="60">
        <f t="shared" si="47"/>
        <v>0</v>
      </c>
      <c r="EQ163" s="61">
        <f t="shared" si="48"/>
        <v>0</v>
      </c>
      <c r="ER163" s="15">
        <f t="shared" si="49"/>
        <v>0</v>
      </c>
      <c r="ES163" s="62">
        <f t="shared" si="50"/>
        <v>0</v>
      </c>
      <c r="ET163" t="s">
        <v>1005</v>
      </c>
      <c r="EU163" s="6">
        <v>154</v>
      </c>
    </row>
    <row r="164" spans="1:151" x14ac:dyDescent="0.45">
      <c r="A164" s="219">
        <v>45582</v>
      </c>
      <c r="B164" s="25" t="s">
        <v>859</v>
      </c>
      <c r="C164" s="10" t="s">
        <v>858</v>
      </c>
      <c r="D164" s="7"/>
      <c r="E164" s="43">
        <v>30</v>
      </c>
      <c r="F164" s="43">
        <v>1.2</v>
      </c>
      <c r="G164" s="16">
        <f t="shared" si="36"/>
        <v>15944.060000000018</v>
      </c>
      <c r="H164" s="64" t="s">
        <v>625</v>
      </c>
      <c r="I164" s="52"/>
      <c r="J164" s="43"/>
      <c r="K164" s="43"/>
      <c r="L164" s="43"/>
      <c r="M164" s="43"/>
      <c r="N164" s="43"/>
      <c r="O164" s="43"/>
      <c r="P164" s="43"/>
      <c r="Q164" s="43"/>
      <c r="R164" s="43"/>
      <c r="S164" s="43"/>
      <c r="T164" s="43"/>
      <c r="U164" s="43"/>
      <c r="V164" s="43"/>
      <c r="W164" s="43"/>
      <c r="X164" s="43"/>
      <c r="Y164" s="43">
        <v>30</v>
      </c>
      <c r="Z164" s="43"/>
      <c r="AA164" s="43"/>
      <c r="AB164" s="43"/>
      <c r="AC164" s="43"/>
      <c r="AD164" s="43"/>
      <c r="AE164" s="43"/>
      <c r="AF164" s="43"/>
      <c r="AG164" s="43"/>
      <c r="AH164" s="43"/>
      <c r="AI164" s="43"/>
      <c r="AJ164" s="43"/>
      <c r="AK164" s="43"/>
      <c r="AL164" s="43"/>
      <c r="AM164" s="43"/>
      <c r="AN164" s="43"/>
      <c r="AO164" s="43"/>
      <c r="AP164" s="43"/>
      <c r="AQ164" s="43"/>
      <c r="AR164" s="53"/>
      <c r="AS164" s="52"/>
      <c r="AT164" s="43"/>
      <c r="AU164" s="43"/>
      <c r="AV164" s="43"/>
      <c r="AW164" s="43"/>
      <c r="AX164" s="43"/>
      <c r="AY164" s="43">
        <v>1.2</v>
      </c>
      <c r="AZ164" s="43"/>
      <c r="BA164" s="43"/>
      <c r="BB164" s="43"/>
      <c r="BC164" s="43"/>
      <c r="BD164" s="43"/>
      <c r="BE164" s="43"/>
      <c r="BF164" s="43"/>
      <c r="BG164" s="43"/>
      <c r="BH164" s="43"/>
      <c r="BI164" s="43"/>
      <c r="BJ164" s="43"/>
      <c r="BK164" s="43"/>
      <c r="BL164" s="43"/>
      <c r="BM164" s="43"/>
      <c r="BN164" s="43"/>
      <c r="BO164" s="43"/>
      <c r="BP164" s="43"/>
      <c r="BQ164" s="43"/>
      <c r="BR164" s="43"/>
      <c r="BS164" s="43"/>
      <c r="BT164" s="43"/>
      <c r="BU164" s="43"/>
      <c r="BV164" s="43"/>
      <c r="BW164" s="53"/>
      <c r="BX164" s="30">
        <f t="shared" si="35"/>
        <v>0</v>
      </c>
      <c r="BY164" s="52"/>
      <c r="BZ164" s="43"/>
      <c r="CA164" s="43"/>
      <c r="CB164" s="43"/>
      <c r="CC164" s="43">
        <v>30</v>
      </c>
      <c r="CD164" s="43"/>
      <c r="CE164" s="43"/>
      <c r="CF164" s="43"/>
      <c r="CG164" s="53"/>
      <c r="CH164" s="52"/>
      <c r="CI164" s="43"/>
      <c r="CJ164" s="43"/>
      <c r="CK164" s="43"/>
      <c r="CL164" s="43"/>
      <c r="CM164" s="43"/>
      <c r="CN164" s="43"/>
      <c r="CO164" s="43"/>
      <c r="CP164" s="43"/>
      <c r="CQ164" s="43"/>
      <c r="CR164" s="43"/>
      <c r="CS164" s="43"/>
      <c r="CT164" s="43"/>
      <c r="CU164" s="43"/>
      <c r="CV164" s="43"/>
      <c r="CW164" s="43"/>
      <c r="CX164" s="43"/>
      <c r="CY164" s="43"/>
      <c r="CZ164" s="7"/>
      <c r="DA164" s="7"/>
      <c r="DB164" s="43">
        <v>1.2</v>
      </c>
      <c r="DC164" s="43"/>
      <c r="DD164" s="53"/>
      <c r="DE164" s="73">
        <f t="shared" si="37"/>
        <v>0</v>
      </c>
      <c r="DG164" s="52"/>
      <c r="DH164" s="43"/>
      <c r="DI164" s="50">
        <f t="shared" si="38"/>
        <v>6677.6333333333323</v>
      </c>
      <c r="DK164" s="52">
        <v>30</v>
      </c>
      <c r="DL164" s="43">
        <v>1.2</v>
      </c>
      <c r="DM164" s="50">
        <f t="shared" si="39"/>
        <v>4337.1100000000015</v>
      </c>
      <c r="DO164" s="52"/>
      <c r="DP164" s="43"/>
      <c r="DQ164" s="50">
        <f t="shared" si="40"/>
        <v>8045.5800000000036</v>
      </c>
      <c r="DT164" s="52"/>
      <c r="DU164" s="43"/>
      <c r="DV164" s="50">
        <f t="shared" si="41"/>
        <v>518.18000000000006</v>
      </c>
      <c r="DX164" s="52"/>
      <c r="DY164" s="43"/>
      <c r="DZ164" s="53">
        <f t="shared" si="42"/>
        <v>578.49</v>
      </c>
      <c r="EB164" s="52"/>
      <c r="EC164" s="43"/>
      <c r="ED164" s="53">
        <f t="shared" si="43"/>
        <v>500</v>
      </c>
      <c r="EF164" s="52"/>
      <c r="EG164" s="43"/>
      <c r="EH164" s="53">
        <f t="shared" si="44"/>
        <v>1048.04</v>
      </c>
      <c r="EJ164" s="65"/>
      <c r="EK164" s="7"/>
      <c r="EL164" s="53">
        <f t="shared" si="45"/>
        <v>25.299999999999997</v>
      </c>
      <c r="EN164" s="51">
        <f t="shared" si="46"/>
        <v>-5786.2733333333208</v>
      </c>
      <c r="EP164" s="60">
        <f t="shared" si="47"/>
        <v>0</v>
      </c>
      <c r="EQ164" s="61">
        <f t="shared" si="48"/>
        <v>0</v>
      </c>
      <c r="ER164" s="15">
        <f t="shared" si="49"/>
        <v>0</v>
      </c>
      <c r="ES164" s="163">
        <f t="shared" si="50"/>
        <v>0</v>
      </c>
      <c r="EU164">
        <v>155</v>
      </c>
    </row>
    <row r="165" spans="1:151" x14ac:dyDescent="0.45">
      <c r="A165" s="67">
        <v>45582</v>
      </c>
      <c r="B165" s="25" t="s">
        <v>748</v>
      </c>
      <c r="C165" s="10" t="s">
        <v>860</v>
      </c>
      <c r="D165" s="7"/>
      <c r="E165" s="43">
        <v>45</v>
      </c>
      <c r="F165" s="43">
        <v>1.47</v>
      </c>
      <c r="G165" s="16">
        <f t="shared" si="36"/>
        <v>15987.590000000018</v>
      </c>
      <c r="H165" s="64" t="s">
        <v>625</v>
      </c>
      <c r="I165" s="52"/>
      <c r="J165" s="43"/>
      <c r="K165" s="43"/>
      <c r="L165" s="43"/>
      <c r="M165" s="43"/>
      <c r="N165" s="43"/>
      <c r="O165" s="43"/>
      <c r="P165" s="43"/>
      <c r="Q165" s="43"/>
      <c r="R165" s="43"/>
      <c r="S165" s="43"/>
      <c r="T165" s="43"/>
      <c r="U165" s="43"/>
      <c r="V165" s="43"/>
      <c r="W165" s="43"/>
      <c r="X165" s="43"/>
      <c r="Y165" s="43">
        <v>45</v>
      </c>
      <c r="Z165" s="43"/>
      <c r="AA165" s="43"/>
      <c r="AB165" s="43"/>
      <c r="AC165" s="43"/>
      <c r="AD165" s="43"/>
      <c r="AE165" s="43"/>
      <c r="AF165" s="43"/>
      <c r="AG165" s="43"/>
      <c r="AH165" s="43"/>
      <c r="AI165" s="43"/>
      <c r="AJ165" s="43"/>
      <c r="AK165" s="43"/>
      <c r="AL165" s="43"/>
      <c r="AM165" s="43"/>
      <c r="AN165" s="43"/>
      <c r="AO165" s="43"/>
      <c r="AP165" s="43"/>
      <c r="AQ165" s="43"/>
      <c r="AR165" s="53"/>
      <c r="AS165" s="52"/>
      <c r="AT165" s="43"/>
      <c r="AU165" s="43"/>
      <c r="AV165" s="43"/>
      <c r="AW165" s="43"/>
      <c r="AX165" s="43"/>
      <c r="AY165" s="43">
        <v>1.47</v>
      </c>
      <c r="AZ165" s="43"/>
      <c r="BA165" s="43"/>
      <c r="BB165" s="43"/>
      <c r="BC165" s="43"/>
      <c r="BD165" s="43"/>
      <c r="BE165" s="43"/>
      <c r="BF165" s="43"/>
      <c r="BG165" s="43"/>
      <c r="BH165" s="43"/>
      <c r="BI165" s="43"/>
      <c r="BJ165" s="43"/>
      <c r="BK165" s="43"/>
      <c r="BL165" s="43"/>
      <c r="BM165" s="43"/>
      <c r="BN165" s="43"/>
      <c r="BO165" s="43"/>
      <c r="BP165" s="43"/>
      <c r="BQ165" s="43"/>
      <c r="BR165" s="43"/>
      <c r="BS165" s="43"/>
      <c r="BT165" s="43"/>
      <c r="BU165" s="43"/>
      <c r="BV165" s="43"/>
      <c r="BW165" s="53"/>
      <c r="BX165" s="30">
        <f t="shared" si="35"/>
        <v>0</v>
      </c>
      <c r="BY165" s="52"/>
      <c r="BZ165" s="43">
        <v>45</v>
      </c>
      <c r="CA165" s="43"/>
      <c r="CB165" s="43"/>
      <c r="CC165" s="43"/>
      <c r="CD165" s="43"/>
      <c r="CE165" s="43"/>
      <c r="CF165" s="43"/>
      <c r="CG165" s="53"/>
      <c r="CH165" s="52"/>
      <c r="CI165" s="43"/>
      <c r="CJ165" s="43"/>
      <c r="CK165" s="43"/>
      <c r="CL165" s="43"/>
      <c r="CM165" s="43"/>
      <c r="CN165" s="43"/>
      <c r="CO165" s="43"/>
      <c r="CP165" s="43"/>
      <c r="CQ165" s="43"/>
      <c r="CR165" s="43"/>
      <c r="CS165" s="43"/>
      <c r="CT165" s="43"/>
      <c r="CU165" s="43"/>
      <c r="CV165" s="43"/>
      <c r="CW165" s="43"/>
      <c r="CX165" s="43"/>
      <c r="CY165" s="43"/>
      <c r="CZ165" s="7"/>
      <c r="DA165" s="7"/>
      <c r="DB165" s="43">
        <v>1.47</v>
      </c>
      <c r="DC165" s="43"/>
      <c r="DD165" s="53"/>
      <c r="DE165" s="73">
        <f t="shared" si="37"/>
        <v>0</v>
      </c>
      <c r="DG165" s="52"/>
      <c r="DH165" s="43"/>
      <c r="DI165" s="50">
        <f t="shared" si="38"/>
        <v>6677.6333333333323</v>
      </c>
      <c r="DK165" s="52">
        <v>45</v>
      </c>
      <c r="DL165" s="43">
        <v>1.47</v>
      </c>
      <c r="DM165" s="50">
        <f t="shared" si="39"/>
        <v>4380.6400000000012</v>
      </c>
      <c r="DO165" s="52"/>
      <c r="DP165" s="43"/>
      <c r="DQ165" s="50">
        <f t="shared" si="40"/>
        <v>8045.5800000000036</v>
      </c>
      <c r="DT165" s="52"/>
      <c r="DU165" s="43"/>
      <c r="DV165" s="50">
        <f t="shared" si="41"/>
        <v>518.18000000000006</v>
      </c>
      <c r="DX165" s="52"/>
      <c r="DY165" s="43"/>
      <c r="DZ165" s="53">
        <f t="shared" si="42"/>
        <v>578.49</v>
      </c>
      <c r="EB165" s="52"/>
      <c r="EC165" s="43"/>
      <c r="ED165" s="53">
        <f t="shared" si="43"/>
        <v>500</v>
      </c>
      <c r="EF165" s="52"/>
      <c r="EG165" s="43"/>
      <c r="EH165" s="53">
        <f t="shared" si="44"/>
        <v>1048.04</v>
      </c>
      <c r="EJ165" s="65"/>
      <c r="EK165" s="7"/>
      <c r="EL165" s="53">
        <f t="shared" si="45"/>
        <v>25.299999999999997</v>
      </c>
      <c r="EN165" s="51">
        <f t="shared" si="46"/>
        <v>-5786.2733333333181</v>
      </c>
      <c r="EP165" s="60">
        <f t="shared" si="47"/>
        <v>0</v>
      </c>
      <c r="EQ165" s="61">
        <f t="shared" si="48"/>
        <v>0</v>
      </c>
      <c r="ER165" s="15">
        <f t="shared" si="49"/>
        <v>0</v>
      </c>
      <c r="ES165" s="62">
        <f t="shared" si="50"/>
        <v>0</v>
      </c>
      <c r="EU165" s="6">
        <v>156</v>
      </c>
    </row>
    <row r="166" spans="1:151" x14ac:dyDescent="0.45">
      <c r="A166" s="67">
        <v>45586</v>
      </c>
      <c r="B166" s="25" t="s">
        <v>745</v>
      </c>
      <c r="C166" s="10" t="s">
        <v>862</v>
      </c>
      <c r="D166" s="7"/>
      <c r="E166" s="43">
        <v>45</v>
      </c>
      <c r="F166" s="43">
        <v>1.47</v>
      </c>
      <c r="G166" s="16">
        <f t="shared" si="36"/>
        <v>16031.120000000019</v>
      </c>
      <c r="H166" s="64" t="s">
        <v>625</v>
      </c>
      <c r="I166" s="52"/>
      <c r="J166" s="43"/>
      <c r="K166" s="43"/>
      <c r="L166" s="43"/>
      <c r="M166" s="43"/>
      <c r="N166" s="43"/>
      <c r="O166" s="43"/>
      <c r="P166" s="43"/>
      <c r="Q166" s="43"/>
      <c r="R166" s="43"/>
      <c r="S166" s="43"/>
      <c r="T166" s="43"/>
      <c r="U166" s="43"/>
      <c r="V166" s="43"/>
      <c r="W166" s="43"/>
      <c r="X166" s="43"/>
      <c r="Y166" s="43">
        <v>45</v>
      </c>
      <c r="Z166" s="43"/>
      <c r="AA166" s="43"/>
      <c r="AB166" s="43"/>
      <c r="AC166" s="43"/>
      <c r="AD166" s="43"/>
      <c r="AE166" s="43"/>
      <c r="AF166" s="43"/>
      <c r="AG166" s="43"/>
      <c r="AH166" s="43"/>
      <c r="AI166" s="43"/>
      <c r="AJ166" s="43"/>
      <c r="AK166" s="43"/>
      <c r="AL166" s="43"/>
      <c r="AM166" s="43"/>
      <c r="AN166" s="43"/>
      <c r="AO166" s="43"/>
      <c r="AP166" s="43"/>
      <c r="AQ166" s="43"/>
      <c r="AR166" s="53"/>
      <c r="AS166" s="52"/>
      <c r="AT166" s="43"/>
      <c r="AU166" s="43"/>
      <c r="AV166" s="43"/>
      <c r="AW166" s="43"/>
      <c r="AX166" s="43"/>
      <c r="AY166" s="43">
        <v>1.47</v>
      </c>
      <c r="AZ166" s="43"/>
      <c r="BA166" s="43"/>
      <c r="BB166" s="43"/>
      <c r="BC166" s="43"/>
      <c r="BD166" s="43"/>
      <c r="BE166" s="43"/>
      <c r="BF166" s="43"/>
      <c r="BG166" s="43"/>
      <c r="BH166" s="43"/>
      <c r="BI166" s="43"/>
      <c r="BJ166" s="43"/>
      <c r="BK166" s="43"/>
      <c r="BL166" s="43"/>
      <c r="BM166" s="43"/>
      <c r="BN166" s="43"/>
      <c r="BO166" s="43"/>
      <c r="BP166" s="43"/>
      <c r="BQ166" s="43"/>
      <c r="BR166" s="43"/>
      <c r="BS166" s="43"/>
      <c r="BT166" s="43"/>
      <c r="BU166" s="43"/>
      <c r="BV166" s="43"/>
      <c r="BW166" s="53"/>
      <c r="BX166" s="30">
        <f t="shared" si="35"/>
        <v>0</v>
      </c>
      <c r="BY166" s="52"/>
      <c r="BZ166" s="43">
        <v>45</v>
      </c>
      <c r="CA166" s="43"/>
      <c r="CB166" s="43"/>
      <c r="CC166" s="43"/>
      <c r="CD166" s="43"/>
      <c r="CE166" s="43"/>
      <c r="CF166" s="43"/>
      <c r="CG166" s="53"/>
      <c r="CH166" s="52"/>
      <c r="CI166" s="43"/>
      <c r="CJ166" s="43"/>
      <c r="CK166" s="43"/>
      <c r="CL166" s="43"/>
      <c r="CM166" s="43"/>
      <c r="CN166" s="43"/>
      <c r="CO166" s="43"/>
      <c r="CP166" s="43"/>
      <c r="CQ166" s="43"/>
      <c r="CR166" s="43"/>
      <c r="CS166" s="43"/>
      <c r="CT166" s="43"/>
      <c r="CU166" s="43"/>
      <c r="CV166" s="43"/>
      <c r="CW166" s="43"/>
      <c r="CX166" s="43"/>
      <c r="CY166" s="43"/>
      <c r="CZ166" s="7"/>
      <c r="DA166" s="7"/>
      <c r="DB166" s="43">
        <v>1.47</v>
      </c>
      <c r="DC166" s="43"/>
      <c r="DD166" s="53"/>
      <c r="DE166" s="73">
        <f t="shared" si="37"/>
        <v>0</v>
      </c>
      <c r="DG166" s="52"/>
      <c r="DH166" s="43"/>
      <c r="DI166" s="50">
        <f t="shared" si="38"/>
        <v>6677.6333333333323</v>
      </c>
      <c r="DK166" s="52">
        <v>45</v>
      </c>
      <c r="DL166" s="43">
        <v>1.47</v>
      </c>
      <c r="DM166" s="50">
        <f t="shared" si="39"/>
        <v>4424.170000000001</v>
      </c>
      <c r="DO166" s="52"/>
      <c r="DP166" s="43"/>
      <c r="DQ166" s="50">
        <f t="shared" si="40"/>
        <v>8045.5800000000036</v>
      </c>
      <c r="DT166" s="52"/>
      <c r="DU166" s="43"/>
      <c r="DV166" s="50">
        <f t="shared" si="41"/>
        <v>518.18000000000006</v>
      </c>
      <c r="DX166" s="52"/>
      <c r="DY166" s="43"/>
      <c r="DZ166" s="53">
        <f t="shared" si="42"/>
        <v>578.49</v>
      </c>
      <c r="EB166" s="52"/>
      <c r="EC166" s="43"/>
      <c r="ED166" s="53">
        <f t="shared" si="43"/>
        <v>500</v>
      </c>
      <c r="EF166" s="52"/>
      <c r="EG166" s="43"/>
      <c r="EH166" s="53">
        <f t="shared" si="44"/>
        <v>1048.04</v>
      </c>
      <c r="EJ166" s="65"/>
      <c r="EK166" s="7"/>
      <c r="EL166" s="53">
        <f t="shared" si="45"/>
        <v>25.299999999999997</v>
      </c>
      <c r="EN166" s="51">
        <f t="shared" si="46"/>
        <v>-5786.273333333319</v>
      </c>
      <c r="EP166" s="60">
        <f t="shared" si="47"/>
        <v>0</v>
      </c>
      <c r="EQ166" s="61">
        <f t="shared" si="48"/>
        <v>0</v>
      </c>
      <c r="ER166" s="15">
        <f t="shared" si="49"/>
        <v>0</v>
      </c>
      <c r="ES166" s="163">
        <f t="shared" si="50"/>
        <v>0</v>
      </c>
      <c r="EU166">
        <v>157</v>
      </c>
    </row>
    <row r="167" spans="1:151" x14ac:dyDescent="0.45">
      <c r="A167" s="67" t="s">
        <v>863</v>
      </c>
      <c r="B167" s="25" t="s">
        <v>864</v>
      </c>
      <c r="C167" s="10" t="s">
        <v>185</v>
      </c>
      <c r="D167" s="7"/>
      <c r="E167" s="43"/>
      <c r="F167" s="43">
        <v>148.78</v>
      </c>
      <c r="G167" s="16">
        <f t="shared" si="36"/>
        <v>15882.340000000018</v>
      </c>
      <c r="H167" s="64" t="s">
        <v>625</v>
      </c>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53"/>
      <c r="AS167" s="52"/>
      <c r="AT167" s="43"/>
      <c r="AU167" s="43"/>
      <c r="AV167" s="43"/>
      <c r="AW167" s="43"/>
      <c r="AX167" s="43">
        <v>49.59</v>
      </c>
      <c r="AY167" s="43">
        <v>49.59</v>
      </c>
      <c r="AZ167" s="43">
        <v>49.6</v>
      </c>
      <c r="BA167" s="43"/>
      <c r="BB167" s="43"/>
      <c r="BC167" s="43"/>
      <c r="BD167" s="43"/>
      <c r="BE167" s="43"/>
      <c r="BF167" s="43"/>
      <c r="BG167" s="43"/>
      <c r="BH167" s="43"/>
      <c r="BI167" s="43"/>
      <c r="BJ167" s="43"/>
      <c r="BK167" s="43"/>
      <c r="BL167" s="43"/>
      <c r="BM167" s="43"/>
      <c r="BN167" s="43"/>
      <c r="BO167" s="43"/>
      <c r="BP167" s="43"/>
      <c r="BQ167" s="43"/>
      <c r="BR167" s="43"/>
      <c r="BS167" s="43"/>
      <c r="BT167" s="43"/>
      <c r="BU167" s="43"/>
      <c r="BV167" s="43"/>
      <c r="BW167" s="53"/>
      <c r="BX167" s="30">
        <f t="shared" si="35"/>
        <v>0</v>
      </c>
      <c r="BY167" s="52"/>
      <c r="BZ167" s="43"/>
      <c r="CA167" s="43"/>
      <c r="CB167" s="43"/>
      <c r="CC167" s="43"/>
      <c r="CD167" s="43"/>
      <c r="CE167" s="43"/>
      <c r="CF167" s="43"/>
      <c r="CG167" s="53"/>
      <c r="CH167" s="52"/>
      <c r="CI167" s="43"/>
      <c r="CJ167" s="43"/>
      <c r="CK167" s="43"/>
      <c r="CL167" s="43">
        <v>148.78</v>
      </c>
      <c r="CM167" s="43"/>
      <c r="CN167" s="43"/>
      <c r="CO167" s="43"/>
      <c r="CP167" s="43"/>
      <c r="CQ167" s="43"/>
      <c r="CR167" s="43"/>
      <c r="CS167" s="43"/>
      <c r="CT167" s="43"/>
      <c r="CU167" s="43"/>
      <c r="CV167" s="43"/>
      <c r="CW167" s="43"/>
      <c r="CX167" s="43"/>
      <c r="CY167" s="43"/>
      <c r="CZ167" s="7"/>
      <c r="DA167" s="7"/>
      <c r="DB167" s="43"/>
      <c r="DC167" s="43"/>
      <c r="DD167" s="53"/>
      <c r="DE167" s="73">
        <f t="shared" si="37"/>
        <v>0</v>
      </c>
      <c r="DG167" s="52"/>
      <c r="DH167" s="43">
        <v>49.59</v>
      </c>
      <c r="DI167" s="50">
        <f t="shared" si="38"/>
        <v>6628.0433333333322</v>
      </c>
      <c r="DK167" s="52"/>
      <c r="DL167" s="43">
        <v>49.59</v>
      </c>
      <c r="DM167" s="53">
        <f t="shared" si="39"/>
        <v>4374.5800000000008</v>
      </c>
      <c r="DO167" s="52"/>
      <c r="DP167" s="43">
        <v>49.6</v>
      </c>
      <c r="DQ167" s="50">
        <f t="shared" si="40"/>
        <v>7995.9800000000032</v>
      </c>
      <c r="DT167" s="52"/>
      <c r="DU167" s="43"/>
      <c r="DV167" s="50">
        <f t="shared" si="41"/>
        <v>518.18000000000006</v>
      </c>
      <c r="DX167" s="52"/>
      <c r="DY167" s="43"/>
      <c r="DZ167" s="53">
        <f t="shared" si="42"/>
        <v>578.49</v>
      </c>
      <c r="EB167" s="52"/>
      <c r="EC167" s="43"/>
      <c r="ED167" s="53">
        <f t="shared" si="43"/>
        <v>500</v>
      </c>
      <c r="EF167" s="52"/>
      <c r="EG167" s="43"/>
      <c r="EH167" s="53">
        <f t="shared" si="44"/>
        <v>1048.04</v>
      </c>
      <c r="EJ167" s="65"/>
      <c r="EK167" s="7"/>
      <c r="EL167" s="53">
        <f t="shared" si="45"/>
        <v>25.299999999999997</v>
      </c>
      <c r="EN167" s="51">
        <f t="shared" si="46"/>
        <v>-5786.2733333333172</v>
      </c>
      <c r="EP167" s="60">
        <f t="shared" si="47"/>
        <v>0</v>
      </c>
      <c r="EQ167" s="61">
        <f t="shared" si="48"/>
        <v>0</v>
      </c>
      <c r="ER167" s="15">
        <f t="shared" si="49"/>
        <v>0</v>
      </c>
      <c r="ES167" s="62">
        <f t="shared" si="50"/>
        <v>0</v>
      </c>
      <c r="EU167" s="6">
        <v>158</v>
      </c>
    </row>
    <row r="168" spans="1:151" x14ac:dyDescent="0.45">
      <c r="A168" s="67">
        <v>45587</v>
      </c>
      <c r="B168" s="25" t="s">
        <v>859</v>
      </c>
      <c r="C168" s="10" t="s">
        <v>865</v>
      </c>
      <c r="D168" s="7"/>
      <c r="E168" s="43">
        <v>15</v>
      </c>
      <c r="F168" s="43">
        <v>0.6</v>
      </c>
      <c r="G168" s="16">
        <f t="shared" si="36"/>
        <v>15896.740000000018</v>
      </c>
      <c r="H168" s="64" t="s">
        <v>625</v>
      </c>
      <c r="I168" s="52"/>
      <c r="J168" s="43"/>
      <c r="K168" s="43"/>
      <c r="L168" s="43"/>
      <c r="M168" s="43"/>
      <c r="N168" s="43"/>
      <c r="O168" s="43"/>
      <c r="P168" s="43"/>
      <c r="Q168" s="43"/>
      <c r="R168" s="43"/>
      <c r="S168" s="43"/>
      <c r="T168" s="43"/>
      <c r="U168" s="43"/>
      <c r="V168" s="43"/>
      <c r="W168" s="43"/>
      <c r="X168" s="43"/>
      <c r="Y168" s="43">
        <v>15</v>
      </c>
      <c r="Z168" s="43"/>
      <c r="AA168" s="43"/>
      <c r="AB168" s="43"/>
      <c r="AC168" s="43"/>
      <c r="AD168" s="43"/>
      <c r="AE168" s="43"/>
      <c r="AF168" s="43"/>
      <c r="AG168" s="43"/>
      <c r="AH168" s="43"/>
      <c r="AI168" s="43"/>
      <c r="AJ168" s="43"/>
      <c r="AK168" s="43"/>
      <c r="AL168" s="43"/>
      <c r="AM168" s="43"/>
      <c r="AN168" s="43"/>
      <c r="AO168" s="43"/>
      <c r="AP168" s="43"/>
      <c r="AQ168" s="43"/>
      <c r="AR168" s="53"/>
      <c r="AS168" s="52"/>
      <c r="AT168" s="43"/>
      <c r="AU168" s="43"/>
      <c r="AV168" s="43"/>
      <c r="AW168" s="43"/>
      <c r="AX168" s="43"/>
      <c r="AY168" s="43">
        <v>0.6</v>
      </c>
      <c r="AZ168" s="43"/>
      <c r="BA168" s="43"/>
      <c r="BB168" s="43"/>
      <c r="BC168" s="43"/>
      <c r="BD168" s="43"/>
      <c r="BE168" s="43"/>
      <c r="BF168" s="43"/>
      <c r="BG168" s="43"/>
      <c r="BH168" s="43"/>
      <c r="BI168" s="43"/>
      <c r="BJ168" s="43"/>
      <c r="BK168" s="43"/>
      <c r="BL168" s="43"/>
      <c r="BM168" s="43"/>
      <c r="BN168" s="43"/>
      <c r="BO168" s="43"/>
      <c r="BP168" s="43"/>
      <c r="BQ168" s="43"/>
      <c r="BR168" s="43"/>
      <c r="BS168" s="43"/>
      <c r="BT168" s="43"/>
      <c r="BU168" s="43"/>
      <c r="BV168" s="43"/>
      <c r="BW168" s="53"/>
      <c r="BX168" s="30">
        <f t="shared" si="35"/>
        <v>0</v>
      </c>
      <c r="BY168" s="52"/>
      <c r="BZ168" s="43"/>
      <c r="CA168" s="43"/>
      <c r="CB168" s="43"/>
      <c r="CC168" s="43">
        <v>15</v>
      </c>
      <c r="CD168" s="43"/>
      <c r="CE168" s="43"/>
      <c r="CF168" s="43"/>
      <c r="CG168" s="53"/>
      <c r="CH168" s="52"/>
      <c r="CI168" s="43"/>
      <c r="CJ168" s="43"/>
      <c r="CK168" s="43"/>
      <c r="CL168" s="43"/>
      <c r="CM168" s="43"/>
      <c r="CN168" s="43"/>
      <c r="CO168" s="43"/>
      <c r="CP168" s="43"/>
      <c r="CQ168" s="43"/>
      <c r="CR168" s="43"/>
      <c r="CS168" s="43"/>
      <c r="CT168" s="43"/>
      <c r="CU168" s="43"/>
      <c r="CV168" s="43"/>
      <c r="CW168" s="43"/>
      <c r="CX168" s="43"/>
      <c r="CY168" s="43"/>
      <c r="CZ168" s="7"/>
      <c r="DA168" s="7"/>
      <c r="DB168" s="43">
        <v>0.6</v>
      </c>
      <c r="DC168" s="43"/>
      <c r="DD168" s="53"/>
      <c r="DE168" s="73">
        <f t="shared" si="37"/>
        <v>0</v>
      </c>
      <c r="DG168" s="52"/>
      <c r="DH168" s="43"/>
      <c r="DI168" s="50">
        <f t="shared" si="38"/>
        <v>6628.0433333333322</v>
      </c>
      <c r="DK168" s="52">
        <v>15</v>
      </c>
      <c r="DL168" s="43">
        <v>0.6</v>
      </c>
      <c r="DM168" s="50">
        <f t="shared" si="39"/>
        <v>4388.9800000000005</v>
      </c>
      <c r="DO168" s="52"/>
      <c r="DP168" s="43"/>
      <c r="DQ168" s="50">
        <f t="shared" si="40"/>
        <v>7995.9800000000032</v>
      </c>
      <c r="DT168" s="52"/>
      <c r="DU168" s="43"/>
      <c r="DV168" s="50">
        <f t="shared" si="41"/>
        <v>518.18000000000006</v>
      </c>
      <c r="DX168" s="52"/>
      <c r="DY168" s="43"/>
      <c r="DZ168" s="53">
        <f t="shared" si="42"/>
        <v>578.49</v>
      </c>
      <c r="EB168" s="52"/>
      <c r="EC168" s="43"/>
      <c r="ED168" s="53">
        <f t="shared" si="43"/>
        <v>500</v>
      </c>
      <c r="EF168" s="52"/>
      <c r="EG168" s="43"/>
      <c r="EH168" s="53">
        <f t="shared" si="44"/>
        <v>1048.04</v>
      </c>
      <c r="EJ168" s="65"/>
      <c r="EK168" s="7"/>
      <c r="EL168" s="53">
        <f t="shared" si="45"/>
        <v>25.299999999999997</v>
      </c>
      <c r="EN168" s="51">
        <f t="shared" si="46"/>
        <v>-5786.273333333319</v>
      </c>
      <c r="EP168" s="60">
        <f t="shared" si="47"/>
        <v>0</v>
      </c>
      <c r="EQ168" s="61">
        <f t="shared" si="48"/>
        <v>0</v>
      </c>
      <c r="ER168" s="15">
        <f t="shared" si="49"/>
        <v>0</v>
      </c>
      <c r="ES168" s="163">
        <f t="shared" si="50"/>
        <v>0</v>
      </c>
      <c r="EU168">
        <v>159</v>
      </c>
    </row>
    <row r="169" spans="1:151" x14ac:dyDescent="0.45">
      <c r="A169" s="67">
        <v>45588</v>
      </c>
      <c r="B169" s="25" t="s">
        <v>748</v>
      </c>
      <c r="C169" s="10" t="s">
        <v>861</v>
      </c>
      <c r="D169" s="7"/>
      <c r="E169" s="43">
        <v>45</v>
      </c>
      <c r="F169" s="43">
        <v>1.47</v>
      </c>
      <c r="G169" s="16">
        <f t="shared" si="36"/>
        <v>15940.270000000019</v>
      </c>
      <c r="H169" s="64" t="s">
        <v>625</v>
      </c>
      <c r="I169" s="52"/>
      <c r="J169" s="43"/>
      <c r="K169" s="43"/>
      <c r="L169" s="43"/>
      <c r="M169" s="43"/>
      <c r="N169" s="43"/>
      <c r="O169" s="43"/>
      <c r="P169" s="43"/>
      <c r="Q169" s="43"/>
      <c r="R169" s="43"/>
      <c r="S169" s="43"/>
      <c r="T169" s="43"/>
      <c r="U169" s="43"/>
      <c r="V169" s="43"/>
      <c r="W169" s="43"/>
      <c r="X169" s="43"/>
      <c r="Y169" s="43">
        <v>45</v>
      </c>
      <c r="Z169" s="43"/>
      <c r="AA169" s="43"/>
      <c r="AB169" s="43"/>
      <c r="AC169" s="43"/>
      <c r="AD169" s="43"/>
      <c r="AE169" s="43"/>
      <c r="AF169" s="43"/>
      <c r="AG169" s="43"/>
      <c r="AH169" s="43"/>
      <c r="AI169" s="43"/>
      <c r="AJ169" s="43"/>
      <c r="AK169" s="43"/>
      <c r="AL169" s="43"/>
      <c r="AM169" s="43"/>
      <c r="AN169" s="43"/>
      <c r="AO169" s="43"/>
      <c r="AP169" s="43"/>
      <c r="AQ169" s="43"/>
      <c r="AR169" s="53"/>
      <c r="AS169" s="52"/>
      <c r="AT169" s="43"/>
      <c r="AU169" s="43"/>
      <c r="AV169" s="43"/>
      <c r="AW169" s="43"/>
      <c r="AX169" s="43"/>
      <c r="AY169" s="43">
        <v>1.47</v>
      </c>
      <c r="AZ169" s="43"/>
      <c r="BA169" s="43"/>
      <c r="BB169" s="43"/>
      <c r="BC169" s="43"/>
      <c r="BD169" s="43"/>
      <c r="BE169" s="43"/>
      <c r="BF169" s="43"/>
      <c r="BG169" s="43"/>
      <c r="BH169" s="43"/>
      <c r="BI169" s="43"/>
      <c r="BJ169" s="43"/>
      <c r="BK169" s="43"/>
      <c r="BL169" s="43"/>
      <c r="BM169" s="43"/>
      <c r="BN169" s="43"/>
      <c r="BO169" s="43"/>
      <c r="BP169" s="43"/>
      <c r="BQ169" s="43"/>
      <c r="BR169" s="43"/>
      <c r="BS169" s="43"/>
      <c r="BT169" s="43"/>
      <c r="BU169" s="43"/>
      <c r="BV169" s="43"/>
      <c r="BW169" s="53"/>
      <c r="BX169" s="30">
        <f t="shared" si="35"/>
        <v>0</v>
      </c>
      <c r="BY169" s="52"/>
      <c r="BZ169" s="43">
        <v>45</v>
      </c>
      <c r="CA169" s="43"/>
      <c r="CB169" s="43"/>
      <c r="CC169" s="43"/>
      <c r="CD169" s="43"/>
      <c r="CE169" s="43"/>
      <c r="CF169" s="43"/>
      <c r="CG169" s="53"/>
      <c r="CH169" s="52"/>
      <c r="CI169" s="43"/>
      <c r="CJ169" s="43"/>
      <c r="CK169" s="43"/>
      <c r="CL169" s="43"/>
      <c r="CM169" s="43"/>
      <c r="CN169" s="43"/>
      <c r="CO169" s="43"/>
      <c r="CP169" s="43"/>
      <c r="CQ169" s="43"/>
      <c r="CR169" s="43"/>
      <c r="CS169" s="43"/>
      <c r="CT169" s="43"/>
      <c r="CU169" s="43"/>
      <c r="CV169" s="43"/>
      <c r="CW169" s="43"/>
      <c r="CX169" s="43"/>
      <c r="CY169" s="43"/>
      <c r="CZ169" s="7"/>
      <c r="DA169" s="7"/>
      <c r="DB169" s="43">
        <v>1.47</v>
      </c>
      <c r="DC169" s="43"/>
      <c r="DD169" s="53"/>
      <c r="DE169" s="73">
        <f t="shared" si="37"/>
        <v>0</v>
      </c>
      <c r="DG169" s="52"/>
      <c r="DH169" s="43"/>
      <c r="DI169" s="50">
        <f t="shared" si="38"/>
        <v>6628.0433333333322</v>
      </c>
      <c r="DK169" s="52">
        <v>45</v>
      </c>
      <c r="DL169" s="43">
        <v>1.47</v>
      </c>
      <c r="DM169" s="50">
        <f t="shared" si="39"/>
        <v>4432.51</v>
      </c>
      <c r="DO169" s="52"/>
      <c r="DP169" s="43"/>
      <c r="DQ169" s="50">
        <f t="shared" si="40"/>
        <v>7995.9800000000032</v>
      </c>
      <c r="DT169" s="52"/>
      <c r="DU169" s="43"/>
      <c r="DV169" s="50">
        <f t="shared" si="41"/>
        <v>518.18000000000006</v>
      </c>
      <c r="DX169" s="52"/>
      <c r="DY169" s="43"/>
      <c r="DZ169" s="53">
        <f t="shared" si="42"/>
        <v>578.49</v>
      </c>
      <c r="EB169" s="52"/>
      <c r="EC169" s="43"/>
      <c r="ED169" s="53">
        <f t="shared" si="43"/>
        <v>500</v>
      </c>
      <c r="EF169" s="52"/>
      <c r="EG169" s="43"/>
      <c r="EH169" s="53">
        <f t="shared" si="44"/>
        <v>1048.04</v>
      </c>
      <c r="EJ169" s="65"/>
      <c r="EK169" s="7"/>
      <c r="EL169" s="53">
        <f t="shared" si="45"/>
        <v>25.299999999999997</v>
      </c>
      <c r="EN169" s="51">
        <f t="shared" si="46"/>
        <v>-5786.2733333333163</v>
      </c>
      <c r="EP169" s="60">
        <f t="shared" si="47"/>
        <v>0</v>
      </c>
      <c r="EQ169" s="61">
        <f t="shared" si="48"/>
        <v>0</v>
      </c>
      <c r="ER169" s="15">
        <f t="shared" si="49"/>
        <v>0</v>
      </c>
      <c r="ES169" s="62">
        <f t="shared" si="50"/>
        <v>0</v>
      </c>
      <c r="EU169" s="6">
        <v>160</v>
      </c>
    </row>
    <row r="170" spans="1:151" x14ac:dyDescent="0.45">
      <c r="A170" s="67">
        <v>45593</v>
      </c>
      <c r="B170" s="25" t="s">
        <v>866</v>
      </c>
      <c r="C170" s="10" t="s">
        <v>541</v>
      </c>
      <c r="D170" s="7"/>
      <c r="E170" s="43"/>
      <c r="F170" s="43">
        <v>1219.78</v>
      </c>
      <c r="G170" s="16">
        <f t="shared" si="36"/>
        <v>14720.490000000018</v>
      </c>
      <c r="H170" s="64" t="s">
        <v>625</v>
      </c>
      <c r="I170" s="52"/>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53"/>
      <c r="AS170" s="52"/>
      <c r="AT170" s="43"/>
      <c r="AU170" s="43"/>
      <c r="AV170" s="43"/>
      <c r="AW170" s="43"/>
      <c r="AX170" s="43"/>
      <c r="AY170" s="43"/>
      <c r="AZ170" s="43"/>
      <c r="BA170" s="43"/>
      <c r="BB170" s="43">
        <v>1219.78</v>
      </c>
      <c r="BC170" s="43"/>
      <c r="BD170" s="43"/>
      <c r="BE170" s="43"/>
      <c r="BF170" s="43"/>
      <c r="BG170" s="43"/>
      <c r="BH170" s="43"/>
      <c r="BI170" s="43"/>
      <c r="BJ170" s="43"/>
      <c r="BK170" s="43"/>
      <c r="BL170" s="43"/>
      <c r="BM170" s="43"/>
      <c r="BN170" s="43"/>
      <c r="BO170" s="43"/>
      <c r="BP170" s="43"/>
      <c r="BQ170" s="43"/>
      <c r="BR170" s="43"/>
      <c r="BS170" s="43"/>
      <c r="BT170" s="43"/>
      <c r="BU170" s="43"/>
      <c r="BV170" s="43"/>
      <c r="BW170" s="53"/>
      <c r="BX170" s="30">
        <f t="shared" si="35"/>
        <v>0</v>
      </c>
      <c r="BY170" s="52"/>
      <c r="BZ170" s="43"/>
      <c r="CA170" s="43"/>
      <c r="CB170" s="43"/>
      <c r="CC170" s="43"/>
      <c r="CD170" s="43"/>
      <c r="CE170" s="43"/>
      <c r="CF170" s="43"/>
      <c r="CG170" s="53"/>
      <c r="CH170" s="52"/>
      <c r="CI170" s="43"/>
      <c r="CJ170" s="43"/>
      <c r="CK170" s="43"/>
      <c r="CL170" s="43"/>
      <c r="CM170" s="149">
        <v>1219.78</v>
      </c>
      <c r="CN170" s="43"/>
      <c r="CO170" s="43"/>
      <c r="CP170" s="43"/>
      <c r="CQ170" s="43"/>
      <c r="CR170" s="43"/>
      <c r="CS170" s="43"/>
      <c r="CT170" s="43"/>
      <c r="CU170" s="43"/>
      <c r="CV170" s="43"/>
      <c r="CW170" s="43"/>
      <c r="CX170" s="43"/>
      <c r="CY170" s="43"/>
      <c r="CZ170" s="7"/>
      <c r="DA170" s="7"/>
      <c r="DB170" s="43"/>
      <c r="DC170" s="43"/>
      <c r="DD170" s="53"/>
      <c r="DE170" s="73">
        <f t="shared" si="37"/>
        <v>0</v>
      </c>
      <c r="DG170" s="52"/>
      <c r="DH170" s="43"/>
      <c r="DI170" s="50">
        <f t="shared" si="38"/>
        <v>6628.0433333333322</v>
      </c>
      <c r="DK170" s="52"/>
      <c r="DL170" s="43"/>
      <c r="DM170" s="50">
        <f t="shared" si="39"/>
        <v>4432.51</v>
      </c>
      <c r="DO170" s="52"/>
      <c r="DP170" s="43"/>
      <c r="DQ170" s="50">
        <f t="shared" si="40"/>
        <v>7995.9800000000032</v>
      </c>
      <c r="DT170" s="52"/>
      <c r="DU170" s="43"/>
      <c r="DV170" s="50">
        <f t="shared" si="41"/>
        <v>518.18000000000006</v>
      </c>
      <c r="DX170" s="52"/>
      <c r="DY170" s="43">
        <v>1219.78</v>
      </c>
      <c r="DZ170" s="53">
        <f t="shared" si="42"/>
        <v>-641.29</v>
      </c>
      <c r="EB170" s="52"/>
      <c r="EC170" s="43"/>
      <c r="ED170" s="53">
        <f t="shared" si="43"/>
        <v>500</v>
      </c>
      <c r="EF170" s="52"/>
      <c r="EG170" s="43"/>
      <c r="EH170" s="53">
        <f t="shared" si="44"/>
        <v>1048.04</v>
      </c>
      <c r="EJ170" s="65"/>
      <c r="EK170" s="7"/>
      <c r="EL170" s="53">
        <f t="shared" si="45"/>
        <v>25.299999999999997</v>
      </c>
      <c r="EN170" s="51">
        <f t="shared" si="46"/>
        <v>-5786.2733333333181</v>
      </c>
      <c r="EP170" s="60">
        <f t="shared" si="47"/>
        <v>0</v>
      </c>
      <c r="EQ170" s="61">
        <f t="shared" si="48"/>
        <v>0</v>
      </c>
      <c r="ER170" s="15">
        <f t="shared" si="49"/>
        <v>0</v>
      </c>
      <c r="ES170" s="163">
        <f t="shared" si="50"/>
        <v>0</v>
      </c>
      <c r="ET170" t="s">
        <v>1005</v>
      </c>
      <c r="EU170">
        <v>161</v>
      </c>
    </row>
    <row r="171" spans="1:151" x14ac:dyDescent="0.45">
      <c r="A171" s="69">
        <v>45594</v>
      </c>
      <c r="B171" s="70" t="s">
        <v>772</v>
      </c>
      <c r="C171" s="10" t="s">
        <v>647</v>
      </c>
      <c r="D171" s="7"/>
      <c r="E171" s="43">
        <v>0.02</v>
      </c>
      <c r="F171" s="43"/>
      <c r="G171" s="16">
        <f t="shared" si="36"/>
        <v>14720.510000000018</v>
      </c>
      <c r="H171" s="64" t="s">
        <v>625</v>
      </c>
      <c r="I171" s="52"/>
      <c r="J171" s="43"/>
      <c r="K171" s="43"/>
      <c r="L171" s="43"/>
      <c r="M171" s="43">
        <v>0.02</v>
      </c>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53"/>
      <c r="AS171" s="52"/>
      <c r="AT171" s="43"/>
      <c r="AU171" s="43"/>
      <c r="AV171" s="43"/>
      <c r="AW171" s="43"/>
      <c r="AX171" s="43"/>
      <c r="AY171" s="43"/>
      <c r="AZ171" s="43"/>
      <c r="BA171" s="43"/>
      <c r="BB171" s="43"/>
      <c r="BC171" s="43"/>
      <c r="BD171" s="43"/>
      <c r="BE171" s="43"/>
      <c r="BF171" s="43"/>
      <c r="BG171" s="43"/>
      <c r="BH171" s="43"/>
      <c r="BI171" s="43"/>
      <c r="BJ171" s="43"/>
      <c r="BK171" s="43"/>
      <c r="BL171" s="43"/>
      <c r="BM171" s="43"/>
      <c r="BN171" s="43"/>
      <c r="BO171" s="43"/>
      <c r="BP171" s="43"/>
      <c r="BQ171" s="43"/>
      <c r="BR171" s="43"/>
      <c r="BS171" s="43"/>
      <c r="BT171" s="43"/>
      <c r="BU171" s="43"/>
      <c r="BV171" s="43"/>
      <c r="BW171" s="53"/>
      <c r="BX171" s="30">
        <f t="shared" si="35"/>
        <v>0</v>
      </c>
      <c r="BY171" s="52">
        <v>0.02</v>
      </c>
      <c r="BZ171" s="43"/>
      <c r="CA171" s="43"/>
      <c r="CB171" s="43"/>
      <c r="CC171" s="43"/>
      <c r="CD171" s="43"/>
      <c r="CE171" s="43"/>
      <c r="CF171" s="43"/>
      <c r="CG171" s="53"/>
      <c r="CH171" s="52"/>
      <c r="CI171" s="43"/>
      <c r="CJ171" s="43"/>
      <c r="CK171" s="43"/>
      <c r="CL171" s="43"/>
      <c r="CM171" s="43"/>
      <c r="CN171" s="43"/>
      <c r="CO171" s="43"/>
      <c r="CP171" s="43"/>
      <c r="CQ171" s="43"/>
      <c r="CR171" s="43"/>
      <c r="CS171" s="43"/>
      <c r="CT171" s="43"/>
      <c r="CU171" s="43"/>
      <c r="CV171" s="43"/>
      <c r="CW171" s="43"/>
      <c r="CX171" s="43"/>
      <c r="CY171" s="43"/>
      <c r="CZ171" s="7"/>
      <c r="DA171" s="7"/>
      <c r="DB171" s="43"/>
      <c r="DC171" s="43"/>
      <c r="DD171" s="53"/>
      <c r="DE171" s="73">
        <f t="shared" si="37"/>
        <v>0</v>
      </c>
      <c r="DG171" s="52"/>
      <c r="DH171" s="43"/>
      <c r="DI171" s="50">
        <f t="shared" si="38"/>
        <v>6628.0433333333322</v>
      </c>
      <c r="DK171" s="52"/>
      <c r="DL171" s="43"/>
      <c r="DM171" s="50">
        <f t="shared" si="39"/>
        <v>4432.51</v>
      </c>
      <c r="DO171" s="52"/>
      <c r="DP171" s="43"/>
      <c r="DQ171" s="50">
        <f t="shared" si="40"/>
        <v>7995.9800000000032</v>
      </c>
      <c r="DT171" s="52"/>
      <c r="DU171" s="43"/>
      <c r="DV171" s="50">
        <f t="shared" si="41"/>
        <v>518.18000000000006</v>
      </c>
      <c r="DX171" s="52">
        <v>0.02</v>
      </c>
      <c r="DY171" s="43"/>
      <c r="DZ171" s="53">
        <f t="shared" si="42"/>
        <v>-641.27</v>
      </c>
      <c r="EB171" s="52"/>
      <c r="EC171" s="43"/>
      <c r="ED171" s="53">
        <f t="shared" si="43"/>
        <v>500</v>
      </c>
      <c r="EF171" s="52"/>
      <c r="EG171" s="43"/>
      <c r="EH171" s="53">
        <f t="shared" si="44"/>
        <v>1048.04</v>
      </c>
      <c r="EJ171" s="65"/>
      <c r="EK171" s="7"/>
      <c r="EL171" s="53">
        <f t="shared" si="45"/>
        <v>25.299999999999997</v>
      </c>
      <c r="EN171" s="51">
        <f t="shared" si="46"/>
        <v>-5786.2733333333181</v>
      </c>
      <c r="EP171" s="60">
        <f t="shared" si="47"/>
        <v>0</v>
      </c>
      <c r="EQ171" s="61">
        <f t="shared" si="48"/>
        <v>0</v>
      </c>
      <c r="ER171" s="15">
        <f t="shared" si="49"/>
        <v>0</v>
      </c>
      <c r="ES171" s="62">
        <f t="shared" si="50"/>
        <v>0</v>
      </c>
      <c r="EU171" s="6">
        <v>162</v>
      </c>
    </row>
    <row r="172" spans="1:151" s="74" customFormat="1" x14ac:dyDescent="0.45">
      <c r="A172" s="67">
        <v>45595</v>
      </c>
      <c r="B172" s="25" t="s">
        <v>872</v>
      </c>
      <c r="C172" s="10" t="s">
        <v>867</v>
      </c>
      <c r="D172" s="7"/>
      <c r="E172" s="43">
        <v>280</v>
      </c>
      <c r="F172" s="43"/>
      <c r="G172" s="16">
        <f t="shared" si="36"/>
        <v>15000.510000000018</v>
      </c>
      <c r="H172" s="64" t="s">
        <v>625</v>
      </c>
      <c r="I172" s="52"/>
      <c r="J172" s="43"/>
      <c r="K172" s="43"/>
      <c r="L172" s="43"/>
      <c r="M172" s="43">
        <v>280</v>
      </c>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53"/>
      <c r="AS172" s="52"/>
      <c r="AT172" s="43"/>
      <c r="AU172" s="43"/>
      <c r="AV172" s="43"/>
      <c r="AW172" s="43"/>
      <c r="AX172" s="43"/>
      <c r="AY172" s="43"/>
      <c r="AZ172" s="43"/>
      <c r="BA172" s="43"/>
      <c r="BB172" s="43"/>
      <c r="BC172" s="43"/>
      <c r="BD172" s="43"/>
      <c r="BE172" s="43"/>
      <c r="BF172" s="43"/>
      <c r="BG172" s="43"/>
      <c r="BH172" s="43"/>
      <c r="BI172" s="43"/>
      <c r="BJ172" s="43"/>
      <c r="BK172" s="43"/>
      <c r="BL172" s="43"/>
      <c r="BM172" s="43"/>
      <c r="BN172" s="43"/>
      <c r="BO172" s="43"/>
      <c r="BP172" s="43"/>
      <c r="BQ172" s="43"/>
      <c r="BR172" s="43"/>
      <c r="BS172" s="43"/>
      <c r="BT172" s="43"/>
      <c r="BU172" s="43"/>
      <c r="BV172" s="43"/>
      <c r="BW172" s="53"/>
      <c r="BX172" s="30">
        <f t="shared" si="35"/>
        <v>0</v>
      </c>
      <c r="BY172" s="52">
        <v>280</v>
      </c>
      <c r="BZ172" s="43"/>
      <c r="CA172" s="43"/>
      <c r="CB172" s="43"/>
      <c r="CC172" s="43"/>
      <c r="CD172" s="43"/>
      <c r="CE172" s="43"/>
      <c r="CF172" s="43"/>
      <c r="CG172" s="53"/>
      <c r="CH172" s="52"/>
      <c r="CI172" s="43"/>
      <c r="CJ172" s="43"/>
      <c r="CK172" s="43"/>
      <c r="CL172" s="43"/>
      <c r="CM172" s="43"/>
      <c r="CN172" s="43"/>
      <c r="CO172" s="43"/>
      <c r="CP172" s="43"/>
      <c r="CQ172" s="43"/>
      <c r="CR172" s="43"/>
      <c r="CS172" s="43"/>
      <c r="CT172" s="43"/>
      <c r="CU172" s="43"/>
      <c r="CV172" s="43"/>
      <c r="CW172" s="43"/>
      <c r="CX172" s="43"/>
      <c r="CY172" s="43"/>
      <c r="CZ172" s="7"/>
      <c r="DA172" s="7"/>
      <c r="DB172" s="43"/>
      <c r="DC172" s="43"/>
      <c r="DD172" s="53"/>
      <c r="DE172" s="73">
        <f t="shared" si="37"/>
        <v>0</v>
      </c>
      <c r="DF172" s="15"/>
      <c r="DG172" s="52"/>
      <c r="DH172" s="43"/>
      <c r="DI172" s="50">
        <f t="shared" si="38"/>
        <v>6628.0433333333322</v>
      </c>
      <c r="DJ172" s="15"/>
      <c r="DK172" s="52"/>
      <c r="DL172" s="43"/>
      <c r="DM172" s="50">
        <f t="shared" si="39"/>
        <v>4432.51</v>
      </c>
      <c r="DN172" s="15"/>
      <c r="DO172" s="52"/>
      <c r="DP172" s="43"/>
      <c r="DQ172" s="53">
        <f t="shared" si="40"/>
        <v>7995.9800000000032</v>
      </c>
      <c r="DR172" s="15"/>
      <c r="DS172" s="15"/>
      <c r="DT172" s="52"/>
      <c r="DU172" s="43"/>
      <c r="DV172" s="50">
        <f t="shared" si="41"/>
        <v>518.18000000000006</v>
      </c>
      <c r="DW172" s="15"/>
      <c r="DX172" s="52">
        <v>280</v>
      </c>
      <c r="DY172" s="43"/>
      <c r="DZ172" s="53">
        <f t="shared" si="42"/>
        <v>-361.27</v>
      </c>
      <c r="EA172" s="15"/>
      <c r="EB172" s="52"/>
      <c r="EC172" s="43"/>
      <c r="ED172" s="53">
        <f t="shared" si="43"/>
        <v>500</v>
      </c>
      <c r="EE172" s="15"/>
      <c r="EF172" s="52"/>
      <c r="EG172" s="43"/>
      <c r="EH172" s="53">
        <f t="shared" si="44"/>
        <v>1048.04</v>
      </c>
      <c r="EI172"/>
      <c r="EJ172" s="65"/>
      <c r="EK172" s="7"/>
      <c r="EL172" s="53">
        <f t="shared" si="45"/>
        <v>25.299999999999997</v>
      </c>
      <c r="EM172"/>
      <c r="EN172" s="51">
        <f t="shared" si="46"/>
        <v>-5786.2733333333181</v>
      </c>
      <c r="EO172"/>
      <c r="EP172" s="60">
        <f t="shared" si="47"/>
        <v>0</v>
      </c>
      <c r="EQ172" s="61">
        <f t="shared" si="48"/>
        <v>0</v>
      </c>
      <c r="ER172" s="15">
        <f t="shared" si="49"/>
        <v>0</v>
      </c>
      <c r="ES172" s="163">
        <f t="shared" si="50"/>
        <v>0</v>
      </c>
      <c r="ET172"/>
      <c r="EU172">
        <v>163</v>
      </c>
    </row>
    <row r="173" spans="1:151" x14ac:dyDescent="0.45">
      <c r="A173" s="67">
        <v>45597</v>
      </c>
      <c r="B173" s="25" t="s">
        <v>868</v>
      </c>
      <c r="C173" s="10" t="s">
        <v>647</v>
      </c>
      <c r="D173" s="7"/>
      <c r="E173" s="43">
        <v>979.02</v>
      </c>
      <c r="F173" s="43"/>
      <c r="G173" s="16">
        <f t="shared" si="36"/>
        <v>15979.530000000019</v>
      </c>
      <c r="H173" s="64" t="s">
        <v>625</v>
      </c>
      <c r="I173" s="52"/>
      <c r="J173" s="43"/>
      <c r="K173" s="43"/>
      <c r="L173" s="43">
        <v>979.02</v>
      </c>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53"/>
      <c r="AS173" s="52"/>
      <c r="AT173" s="43"/>
      <c r="AU173" s="43"/>
      <c r="AV173" s="43"/>
      <c r="AW173" s="43"/>
      <c r="AX173" s="43"/>
      <c r="AY173" s="43"/>
      <c r="AZ173" s="43"/>
      <c r="BA173" s="43"/>
      <c r="BB173" s="43"/>
      <c r="BC173" s="43"/>
      <c r="BD173" s="43"/>
      <c r="BE173" s="43"/>
      <c r="BF173" s="43"/>
      <c r="BG173" s="43"/>
      <c r="BH173" s="43"/>
      <c r="BI173" s="43"/>
      <c r="BJ173" s="43"/>
      <c r="BK173" s="43"/>
      <c r="BL173" s="43"/>
      <c r="BM173" s="43"/>
      <c r="BN173" s="43"/>
      <c r="BO173" s="43"/>
      <c r="BP173" s="43"/>
      <c r="BQ173" s="43"/>
      <c r="BR173" s="43"/>
      <c r="BS173" s="43"/>
      <c r="BT173" s="43"/>
      <c r="BU173" s="43"/>
      <c r="BV173" s="43"/>
      <c r="BW173" s="53"/>
      <c r="BX173" s="30">
        <f t="shared" si="35"/>
        <v>0</v>
      </c>
      <c r="BY173" s="52">
        <f>SUM(I173:M173)</f>
        <v>979.02</v>
      </c>
      <c r="BZ173" s="43"/>
      <c r="CA173" s="43"/>
      <c r="CB173" s="43"/>
      <c r="CC173" s="43"/>
      <c r="CD173" s="43"/>
      <c r="CE173" s="43"/>
      <c r="CF173" s="43"/>
      <c r="CG173" s="53"/>
      <c r="CH173" s="52"/>
      <c r="CI173" s="43"/>
      <c r="CJ173" s="43"/>
      <c r="CK173" s="43"/>
      <c r="CL173" s="43"/>
      <c r="CM173" s="43"/>
      <c r="CN173" s="43"/>
      <c r="CO173" s="43"/>
      <c r="CP173" s="43"/>
      <c r="CQ173" s="43"/>
      <c r="CR173" s="43"/>
      <c r="CS173" s="43"/>
      <c r="CT173" s="43"/>
      <c r="CU173" s="43"/>
      <c r="CV173" s="43"/>
      <c r="CW173" s="43"/>
      <c r="CX173" s="43"/>
      <c r="CY173" s="43"/>
      <c r="CZ173" s="7"/>
      <c r="DA173" s="7"/>
      <c r="DB173" s="43"/>
      <c r="DC173" s="43"/>
      <c r="DD173" s="53"/>
      <c r="DE173" s="73">
        <f t="shared" si="37"/>
        <v>0</v>
      </c>
      <c r="DG173" s="52"/>
      <c r="DH173" s="43"/>
      <c r="DI173" s="50">
        <f t="shared" si="38"/>
        <v>6628.0433333333322</v>
      </c>
      <c r="DK173" s="52"/>
      <c r="DL173" s="43"/>
      <c r="DM173" s="50">
        <f t="shared" si="39"/>
        <v>4432.51</v>
      </c>
      <c r="DO173" s="52"/>
      <c r="DP173" s="43"/>
      <c r="DQ173" s="50">
        <f t="shared" si="40"/>
        <v>7995.9800000000032</v>
      </c>
      <c r="DT173" s="52"/>
      <c r="DU173" s="43"/>
      <c r="DV173" s="50">
        <f t="shared" si="41"/>
        <v>518.18000000000006</v>
      </c>
      <c r="DX173" s="52">
        <v>979.02</v>
      </c>
      <c r="DY173" s="43"/>
      <c r="DZ173" s="53">
        <f t="shared" si="42"/>
        <v>617.75</v>
      </c>
      <c r="EB173" s="52"/>
      <c r="EC173" s="43"/>
      <c r="ED173" s="53">
        <f t="shared" si="43"/>
        <v>500</v>
      </c>
      <c r="EF173" s="52"/>
      <c r="EG173" s="43"/>
      <c r="EH173" s="53">
        <f t="shared" si="44"/>
        <v>1048.04</v>
      </c>
      <c r="EJ173" s="65"/>
      <c r="EK173" s="7"/>
      <c r="EL173" s="53">
        <f t="shared" si="45"/>
        <v>25.299999999999997</v>
      </c>
      <c r="EN173" s="51">
        <f t="shared" si="46"/>
        <v>-5786.2733333333181</v>
      </c>
      <c r="EP173" s="60">
        <f t="shared" si="47"/>
        <v>0</v>
      </c>
      <c r="EQ173" s="61">
        <f t="shared" si="48"/>
        <v>0</v>
      </c>
      <c r="ER173" s="15">
        <f t="shared" si="49"/>
        <v>0</v>
      </c>
      <c r="ES173" s="62">
        <f t="shared" si="50"/>
        <v>0</v>
      </c>
      <c r="ET173" t="s">
        <v>1004</v>
      </c>
      <c r="EU173" s="6">
        <v>164</v>
      </c>
    </row>
    <row r="174" spans="1:151" x14ac:dyDescent="0.45">
      <c r="A174" s="67">
        <v>45601</v>
      </c>
      <c r="B174" s="25" t="s">
        <v>869</v>
      </c>
      <c r="C174" s="10" t="s">
        <v>634</v>
      </c>
      <c r="D174" s="7"/>
      <c r="E174" s="43"/>
      <c r="F174" s="43">
        <v>0.01</v>
      </c>
      <c r="G174" s="16">
        <f t="shared" si="36"/>
        <v>15979.520000000019</v>
      </c>
      <c r="H174" s="64" t="s">
        <v>625</v>
      </c>
      <c r="I174" s="52"/>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53"/>
      <c r="AS174" s="52"/>
      <c r="AT174" s="43"/>
      <c r="AU174" s="43"/>
      <c r="AV174" s="43"/>
      <c r="AW174" s="43"/>
      <c r="AX174" s="43"/>
      <c r="AY174" s="43"/>
      <c r="AZ174" s="43"/>
      <c r="BA174" s="43">
        <v>0.01</v>
      </c>
      <c r="BB174" s="43"/>
      <c r="BC174" s="43"/>
      <c r="BD174" s="43"/>
      <c r="BE174" s="43"/>
      <c r="BF174" s="43"/>
      <c r="BG174" s="43"/>
      <c r="BH174" s="43"/>
      <c r="BI174" s="43"/>
      <c r="BJ174" s="43"/>
      <c r="BK174" s="43"/>
      <c r="BL174" s="43"/>
      <c r="BM174" s="43"/>
      <c r="BN174" s="43"/>
      <c r="BO174" s="43"/>
      <c r="BP174" s="43"/>
      <c r="BQ174" s="43"/>
      <c r="BR174" s="43"/>
      <c r="BS174" s="43"/>
      <c r="BT174" s="43"/>
      <c r="BU174" s="43"/>
      <c r="BV174" s="43"/>
      <c r="BW174" s="53"/>
      <c r="BX174" s="30">
        <f t="shared" si="35"/>
        <v>0</v>
      </c>
      <c r="BY174" s="52"/>
      <c r="BZ174" s="43"/>
      <c r="CA174" s="43"/>
      <c r="CB174" s="43"/>
      <c r="CC174" s="43"/>
      <c r="CD174" s="43"/>
      <c r="CE174" s="43"/>
      <c r="CF174" s="43"/>
      <c r="CG174" s="53"/>
      <c r="CH174" s="52"/>
      <c r="CI174" s="43"/>
      <c r="CJ174" s="43"/>
      <c r="CK174" s="43"/>
      <c r="CL174" s="43"/>
      <c r="CM174" s="43"/>
      <c r="CN174" s="43"/>
      <c r="CO174" s="43"/>
      <c r="CP174" s="43"/>
      <c r="CQ174" s="43"/>
      <c r="CR174" s="43"/>
      <c r="CS174" s="43"/>
      <c r="CT174" s="43"/>
      <c r="CU174" s="43"/>
      <c r="CV174" s="43"/>
      <c r="CW174" s="43"/>
      <c r="CX174" s="43"/>
      <c r="CY174" s="43"/>
      <c r="CZ174" s="7"/>
      <c r="DA174" s="7"/>
      <c r="DB174" s="43">
        <v>0.01</v>
      </c>
      <c r="DC174" s="43"/>
      <c r="DD174" s="53"/>
      <c r="DE174" s="73">
        <f t="shared" si="37"/>
        <v>0</v>
      </c>
      <c r="DG174" s="52"/>
      <c r="DH174" s="43"/>
      <c r="DI174" s="50">
        <f t="shared" si="38"/>
        <v>6628.0433333333322</v>
      </c>
      <c r="DK174" s="52"/>
      <c r="DL174" s="43"/>
      <c r="DM174" s="50">
        <f t="shared" si="39"/>
        <v>4432.51</v>
      </c>
      <c r="DO174" s="52"/>
      <c r="DP174" s="43"/>
      <c r="DQ174" s="50">
        <f t="shared" si="40"/>
        <v>7995.9800000000032</v>
      </c>
      <c r="DT174" s="52"/>
      <c r="DU174" s="43">
        <v>0.01</v>
      </c>
      <c r="DV174" s="50">
        <f t="shared" si="41"/>
        <v>518.17000000000007</v>
      </c>
      <c r="DX174" s="52"/>
      <c r="DY174" s="43"/>
      <c r="DZ174" s="53">
        <f t="shared" si="42"/>
        <v>617.75</v>
      </c>
      <c r="EB174" s="52"/>
      <c r="EC174" s="43"/>
      <c r="ED174" s="53">
        <f t="shared" si="43"/>
        <v>500</v>
      </c>
      <c r="EF174" s="52"/>
      <c r="EG174" s="43"/>
      <c r="EH174" s="53">
        <f t="shared" si="44"/>
        <v>1048.04</v>
      </c>
      <c r="EJ174" s="65"/>
      <c r="EK174" s="7"/>
      <c r="EL174" s="53">
        <f t="shared" si="45"/>
        <v>25.299999999999997</v>
      </c>
      <c r="EN174" s="51">
        <f t="shared" si="46"/>
        <v>-5786.2733333333163</v>
      </c>
      <c r="EP174" s="60">
        <f t="shared" si="47"/>
        <v>0</v>
      </c>
      <c r="EQ174" s="61">
        <f t="shared" si="48"/>
        <v>0</v>
      </c>
      <c r="ER174" s="15">
        <f t="shared" si="49"/>
        <v>0</v>
      </c>
      <c r="ES174" s="163">
        <f t="shared" si="50"/>
        <v>0</v>
      </c>
      <c r="EU174">
        <v>165</v>
      </c>
    </row>
    <row r="175" spans="1:151" x14ac:dyDescent="0.45">
      <c r="A175" s="67">
        <v>45602</v>
      </c>
      <c r="B175" s="25" t="s">
        <v>877</v>
      </c>
      <c r="C175" s="10" t="s">
        <v>578</v>
      </c>
      <c r="D175" s="7"/>
      <c r="E175" s="43">
        <v>15</v>
      </c>
      <c r="F175" s="43"/>
      <c r="G175" s="16">
        <f t="shared" si="36"/>
        <v>15994.520000000019</v>
      </c>
      <c r="H175" s="64" t="s">
        <v>625</v>
      </c>
      <c r="I175" s="52"/>
      <c r="J175" s="43"/>
      <c r="K175" s="43"/>
      <c r="L175" s="43">
        <v>15</v>
      </c>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53"/>
      <c r="AS175" s="52"/>
      <c r="AT175" s="43"/>
      <c r="AU175" s="43"/>
      <c r="AV175" s="43"/>
      <c r="AW175" s="43"/>
      <c r="AX175" s="43"/>
      <c r="AY175" s="43"/>
      <c r="AZ175" s="43"/>
      <c r="BA175" s="43"/>
      <c r="BB175" s="43"/>
      <c r="BC175" s="43"/>
      <c r="BD175" s="43"/>
      <c r="BE175" s="43"/>
      <c r="BF175" s="43"/>
      <c r="BG175" s="43"/>
      <c r="BH175" s="43"/>
      <c r="BI175" s="43"/>
      <c r="BJ175" s="43"/>
      <c r="BK175" s="43"/>
      <c r="BL175" s="43"/>
      <c r="BM175" s="43"/>
      <c r="BN175" s="43"/>
      <c r="BO175" s="43"/>
      <c r="BP175" s="43"/>
      <c r="BQ175" s="43"/>
      <c r="BR175" s="43"/>
      <c r="BS175" s="43"/>
      <c r="BT175" s="43"/>
      <c r="BU175" s="43"/>
      <c r="BV175" s="43"/>
      <c r="BW175" s="53"/>
      <c r="BX175" s="30">
        <f t="shared" si="35"/>
        <v>0</v>
      </c>
      <c r="BY175" s="52">
        <f>E175</f>
        <v>15</v>
      </c>
      <c r="BZ175" s="43"/>
      <c r="CA175" s="43"/>
      <c r="CB175" s="43"/>
      <c r="CC175" s="43"/>
      <c r="CD175" s="43"/>
      <c r="CE175" s="43"/>
      <c r="CF175" s="43"/>
      <c r="CG175" s="53"/>
      <c r="CH175" s="52"/>
      <c r="CI175" s="43"/>
      <c r="CJ175" s="43"/>
      <c r="CK175" s="43"/>
      <c r="CL175" s="43"/>
      <c r="CM175" s="43"/>
      <c r="CN175" s="43"/>
      <c r="CO175" s="43"/>
      <c r="CP175" s="43"/>
      <c r="CQ175" s="43"/>
      <c r="CR175" s="43"/>
      <c r="CS175" s="43"/>
      <c r="CT175" s="43"/>
      <c r="CU175" s="43"/>
      <c r="CV175" s="43"/>
      <c r="CW175" s="43"/>
      <c r="CX175" s="43"/>
      <c r="CY175" s="43"/>
      <c r="CZ175" s="7"/>
      <c r="DA175" s="7"/>
      <c r="DB175" s="43"/>
      <c r="DC175" s="43"/>
      <c r="DD175" s="53"/>
      <c r="DE175" s="73">
        <f t="shared" si="37"/>
        <v>0</v>
      </c>
      <c r="DG175" s="52"/>
      <c r="DH175" s="43"/>
      <c r="DI175" s="50">
        <f t="shared" si="38"/>
        <v>6628.0433333333322</v>
      </c>
      <c r="DK175" s="52"/>
      <c r="DL175" s="43"/>
      <c r="DM175" s="50">
        <f t="shared" si="39"/>
        <v>4432.51</v>
      </c>
      <c r="DO175" s="52"/>
      <c r="DP175" s="43"/>
      <c r="DQ175" s="50">
        <f t="shared" si="40"/>
        <v>7995.9800000000032</v>
      </c>
      <c r="DT175" s="52"/>
      <c r="DU175" s="43"/>
      <c r="DV175" s="50">
        <f t="shared" si="41"/>
        <v>518.17000000000007</v>
      </c>
      <c r="DX175" s="52"/>
      <c r="DY175" s="43"/>
      <c r="DZ175" s="53">
        <f t="shared" si="42"/>
        <v>617.75</v>
      </c>
      <c r="EB175" s="52"/>
      <c r="EC175" s="43"/>
      <c r="ED175" s="53">
        <f t="shared" si="43"/>
        <v>500</v>
      </c>
      <c r="EF175" s="52"/>
      <c r="EG175" s="43"/>
      <c r="EH175" s="53">
        <f t="shared" si="44"/>
        <v>1048.04</v>
      </c>
      <c r="EJ175" s="65"/>
      <c r="EK175" s="7"/>
      <c r="EL175" s="53">
        <f t="shared" si="45"/>
        <v>25.299999999999997</v>
      </c>
      <c r="EN175" s="51">
        <f t="shared" si="46"/>
        <v>-5771.2733333333163</v>
      </c>
      <c r="EP175" s="60">
        <f t="shared" si="47"/>
        <v>0</v>
      </c>
      <c r="EQ175" s="61">
        <f t="shared" si="48"/>
        <v>0</v>
      </c>
      <c r="ER175" s="15">
        <f t="shared" si="49"/>
        <v>0</v>
      </c>
      <c r="ES175" s="163">
        <f t="shared" si="50"/>
        <v>0</v>
      </c>
      <c r="EU175">
        <v>167</v>
      </c>
    </row>
    <row r="176" spans="1:151" x14ac:dyDescent="0.45">
      <c r="A176" s="67">
        <v>45604</v>
      </c>
      <c r="B176" s="25" t="s">
        <v>878</v>
      </c>
      <c r="C176" s="10" t="s">
        <v>624</v>
      </c>
      <c r="D176" s="7"/>
      <c r="E176" s="43"/>
      <c r="F176" s="43">
        <v>127.08</v>
      </c>
      <c r="G176" s="16">
        <f t="shared" si="36"/>
        <v>15867.440000000019</v>
      </c>
      <c r="H176" s="64" t="s">
        <v>625</v>
      </c>
      <c r="I176" s="52"/>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53"/>
      <c r="AS176" s="52"/>
      <c r="AT176" s="43"/>
      <c r="AU176" s="43"/>
      <c r="AV176" s="43"/>
      <c r="AW176" s="43"/>
      <c r="AX176" s="43">
        <v>127.08</v>
      </c>
      <c r="AY176" s="43"/>
      <c r="AZ176" s="43"/>
      <c r="BA176" s="43"/>
      <c r="BB176" s="43"/>
      <c r="BC176" s="43"/>
      <c r="BD176" s="43"/>
      <c r="BE176" s="43"/>
      <c r="BF176" s="43"/>
      <c r="BG176" s="43"/>
      <c r="BH176" s="43"/>
      <c r="BI176" s="43"/>
      <c r="BJ176" s="43"/>
      <c r="BK176" s="43"/>
      <c r="BL176" s="43"/>
      <c r="BM176" s="43"/>
      <c r="BN176" s="43"/>
      <c r="BO176" s="43"/>
      <c r="BP176" s="43"/>
      <c r="BQ176" s="43"/>
      <c r="BR176" s="43"/>
      <c r="BS176" s="43"/>
      <c r="BT176" s="43"/>
      <c r="BU176" s="43"/>
      <c r="BV176" s="43"/>
      <c r="BW176" s="53"/>
      <c r="BX176" s="30">
        <f t="shared" si="35"/>
        <v>0</v>
      </c>
      <c r="BY176" s="52">
        <f t="shared" ref="BY176:BY220" si="51">SUM(I176:M176)</f>
        <v>0</v>
      </c>
      <c r="BZ176" s="43"/>
      <c r="CA176" s="43"/>
      <c r="CB176" s="43"/>
      <c r="CC176" s="43"/>
      <c r="CD176" s="43"/>
      <c r="CE176" s="43"/>
      <c r="CF176" s="43"/>
      <c r="CG176" s="53"/>
      <c r="CH176" s="52"/>
      <c r="CI176" s="43"/>
      <c r="CJ176" s="43"/>
      <c r="CK176" s="43"/>
      <c r="CL176" s="43"/>
      <c r="CM176" s="43"/>
      <c r="CN176" s="43"/>
      <c r="CO176" s="43"/>
      <c r="CP176" s="43">
        <f>127.08-18.15</f>
        <v>108.93</v>
      </c>
      <c r="CQ176" s="43"/>
      <c r="CR176" s="43"/>
      <c r="CS176" s="43"/>
      <c r="CT176" s="43"/>
      <c r="CU176" s="43"/>
      <c r="CV176" s="43"/>
      <c r="CW176" s="43"/>
      <c r="CX176" s="43">
        <v>18.149999999999999</v>
      </c>
      <c r="CY176" s="43"/>
      <c r="CZ176" s="7"/>
      <c r="DA176" s="7"/>
      <c r="DB176" s="43"/>
      <c r="DC176" s="43"/>
      <c r="DD176" s="53"/>
      <c r="DE176" s="73">
        <f t="shared" si="37"/>
        <v>0</v>
      </c>
      <c r="DG176" s="52"/>
      <c r="DH176" s="43"/>
      <c r="DI176" s="50">
        <f t="shared" si="38"/>
        <v>6628.0433333333322</v>
      </c>
      <c r="DK176" s="52"/>
      <c r="DL176" s="43"/>
      <c r="DM176" s="50">
        <f t="shared" si="39"/>
        <v>4432.51</v>
      </c>
      <c r="DO176" s="52"/>
      <c r="DP176" s="43"/>
      <c r="DQ176" s="50">
        <f t="shared" si="40"/>
        <v>7995.9800000000032</v>
      </c>
      <c r="DT176" s="52"/>
      <c r="DU176" s="43"/>
      <c r="DV176" s="50">
        <f t="shared" si="41"/>
        <v>518.17000000000007</v>
      </c>
      <c r="DX176" s="52"/>
      <c r="DY176" s="43"/>
      <c r="DZ176" s="53">
        <f t="shared" si="42"/>
        <v>617.75</v>
      </c>
      <c r="EB176" s="52"/>
      <c r="EC176" s="43"/>
      <c r="ED176" s="53">
        <f t="shared" si="43"/>
        <v>500</v>
      </c>
      <c r="EF176" s="52"/>
      <c r="EG176" s="43"/>
      <c r="EH176" s="53">
        <f t="shared" si="44"/>
        <v>1048.04</v>
      </c>
      <c r="EJ176" s="65"/>
      <c r="EK176" s="7"/>
      <c r="EL176" s="53">
        <f t="shared" si="45"/>
        <v>25.299999999999997</v>
      </c>
      <c r="EN176" s="51">
        <f t="shared" si="46"/>
        <v>-5898.353333333318</v>
      </c>
      <c r="EP176" s="60">
        <f t="shared" si="47"/>
        <v>0</v>
      </c>
      <c r="EQ176" s="61">
        <f t="shared" si="48"/>
        <v>0</v>
      </c>
      <c r="ER176" s="15">
        <f t="shared" si="49"/>
        <v>0</v>
      </c>
      <c r="ES176" s="62">
        <f t="shared" si="50"/>
        <v>0</v>
      </c>
      <c r="EU176" s="6">
        <v>168</v>
      </c>
    </row>
    <row r="177" spans="1:151" x14ac:dyDescent="0.45">
      <c r="A177" s="219">
        <v>45604</v>
      </c>
      <c r="B177" s="6" t="s">
        <v>878</v>
      </c>
      <c r="C177" s="10" t="s">
        <v>636</v>
      </c>
      <c r="D177" s="7"/>
      <c r="E177" s="43"/>
      <c r="F177" s="43">
        <v>88.03</v>
      </c>
      <c r="G177" s="16">
        <f t="shared" si="36"/>
        <v>15779.410000000018</v>
      </c>
      <c r="H177" s="64" t="s">
        <v>625</v>
      </c>
      <c r="I177" s="52"/>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53"/>
      <c r="AS177" s="52"/>
      <c r="AT177" s="43"/>
      <c r="AU177" s="43"/>
      <c r="AV177" s="43"/>
      <c r="AW177" s="43"/>
      <c r="AX177" s="43">
        <v>88.03</v>
      </c>
      <c r="AY177" s="43"/>
      <c r="AZ177" s="43"/>
      <c r="BA177" s="43"/>
      <c r="BB177" s="43"/>
      <c r="BC177" s="43"/>
      <c r="BD177" s="43"/>
      <c r="BE177" s="43"/>
      <c r="BF177" s="43"/>
      <c r="BG177" s="43"/>
      <c r="BH177" s="43"/>
      <c r="BI177" s="43"/>
      <c r="BJ177" s="43"/>
      <c r="BK177" s="43"/>
      <c r="BL177" s="43"/>
      <c r="BM177" s="43"/>
      <c r="BN177" s="43"/>
      <c r="BO177" s="43"/>
      <c r="BP177" s="43"/>
      <c r="BQ177" s="43"/>
      <c r="BR177" s="43"/>
      <c r="BS177" s="43"/>
      <c r="BT177" s="43"/>
      <c r="BU177" s="43"/>
      <c r="BV177" s="43"/>
      <c r="BW177" s="53"/>
      <c r="BX177" s="30">
        <f t="shared" si="35"/>
        <v>0</v>
      </c>
      <c r="BY177" s="52">
        <f t="shared" si="51"/>
        <v>0</v>
      </c>
      <c r="BZ177" s="43"/>
      <c r="CA177" s="43"/>
      <c r="CB177" s="43"/>
      <c r="CC177" s="43"/>
      <c r="CD177" s="43"/>
      <c r="CE177" s="43"/>
      <c r="CF177" s="43"/>
      <c r="CG177" s="53"/>
      <c r="CH177" s="52"/>
      <c r="CI177" s="43"/>
      <c r="CJ177" s="43"/>
      <c r="CK177" s="43"/>
      <c r="CL177" s="43"/>
      <c r="CM177" s="43"/>
      <c r="CN177" s="43"/>
      <c r="CO177" s="43"/>
      <c r="CP177" s="43">
        <f>F177</f>
        <v>88.03</v>
      </c>
      <c r="CQ177" s="43"/>
      <c r="CR177" s="43"/>
      <c r="CS177" s="43"/>
      <c r="CT177" s="43"/>
      <c r="CU177" s="43"/>
      <c r="CV177" s="43"/>
      <c r="CW177" s="43"/>
      <c r="CX177" s="43"/>
      <c r="CY177" s="43"/>
      <c r="CZ177" s="7"/>
      <c r="DA177" s="7"/>
      <c r="DB177" s="43"/>
      <c r="DC177" s="43"/>
      <c r="DD177" s="53"/>
      <c r="DE177" s="73">
        <f t="shared" si="37"/>
        <v>0</v>
      </c>
      <c r="DG177" s="52"/>
      <c r="DH177" s="43"/>
      <c r="DI177" s="50">
        <f t="shared" si="38"/>
        <v>6628.0433333333322</v>
      </c>
      <c r="DK177" s="52"/>
      <c r="DL177" s="43"/>
      <c r="DM177" s="50">
        <f t="shared" si="39"/>
        <v>4432.51</v>
      </c>
      <c r="DO177" s="52"/>
      <c r="DP177" s="43"/>
      <c r="DQ177" s="50">
        <f t="shared" si="40"/>
        <v>7995.9800000000032</v>
      </c>
      <c r="DT177" s="52"/>
      <c r="DU177" s="43"/>
      <c r="DV177" s="50">
        <f t="shared" si="41"/>
        <v>518.17000000000007</v>
      </c>
      <c r="DX177" s="52"/>
      <c r="DY177" s="43"/>
      <c r="DZ177" s="53">
        <f t="shared" si="42"/>
        <v>617.75</v>
      </c>
      <c r="EB177" s="52"/>
      <c r="EC177" s="43"/>
      <c r="ED177" s="53">
        <f t="shared" si="43"/>
        <v>500</v>
      </c>
      <c r="EF177" s="52"/>
      <c r="EG177" s="43"/>
      <c r="EH177" s="53">
        <f t="shared" si="44"/>
        <v>1048.04</v>
      </c>
      <c r="EJ177" s="65"/>
      <c r="EK177" s="7"/>
      <c r="EL177" s="53">
        <f t="shared" si="45"/>
        <v>25.299999999999997</v>
      </c>
      <c r="EN177" s="51">
        <f t="shared" si="46"/>
        <v>-5986.3833333333168</v>
      </c>
      <c r="EP177" s="60">
        <f t="shared" si="47"/>
        <v>-127.08</v>
      </c>
      <c r="EQ177" s="61">
        <f t="shared" si="48"/>
        <v>0</v>
      </c>
      <c r="ER177" s="15">
        <f t="shared" si="49"/>
        <v>0</v>
      </c>
      <c r="ES177" s="163">
        <f t="shared" si="50"/>
        <v>0</v>
      </c>
      <c r="EU177">
        <v>169</v>
      </c>
    </row>
    <row r="178" spans="1:151" x14ac:dyDescent="0.45">
      <c r="A178" s="219">
        <v>45604</v>
      </c>
      <c r="B178" s="6" t="s">
        <v>878</v>
      </c>
      <c r="C178" s="3" t="s">
        <v>614</v>
      </c>
      <c r="D178" s="7"/>
      <c r="E178" s="43"/>
      <c r="F178" s="43">
        <v>77.739999999999995</v>
      </c>
      <c r="G178" s="16">
        <f t="shared" si="36"/>
        <v>15701.670000000018</v>
      </c>
      <c r="H178" s="64" t="s">
        <v>625</v>
      </c>
      <c r="I178" s="52"/>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53"/>
      <c r="AS178" s="52"/>
      <c r="AT178" s="43"/>
      <c r="AU178" s="43"/>
      <c r="AV178" s="43"/>
      <c r="AW178" s="43"/>
      <c r="AX178" s="43">
        <v>77.739999999999995</v>
      </c>
      <c r="AY178" s="43"/>
      <c r="AZ178" s="43"/>
      <c r="BA178" s="43"/>
      <c r="BB178" s="43"/>
      <c r="BC178" s="43"/>
      <c r="BD178" s="43"/>
      <c r="BE178" s="43"/>
      <c r="BF178" s="43"/>
      <c r="BG178" s="43"/>
      <c r="BH178" s="43"/>
      <c r="BI178" s="43"/>
      <c r="BJ178" s="43"/>
      <c r="BK178" s="43"/>
      <c r="BL178" s="43"/>
      <c r="BM178" s="43"/>
      <c r="BN178" s="43"/>
      <c r="BO178" s="43"/>
      <c r="BP178" s="43"/>
      <c r="BQ178" s="43"/>
      <c r="BR178" s="43"/>
      <c r="BS178" s="43"/>
      <c r="BT178" s="43"/>
      <c r="BU178" s="43"/>
      <c r="BV178" s="43"/>
      <c r="BW178" s="53"/>
      <c r="BX178" s="30">
        <f t="shared" si="35"/>
        <v>0</v>
      </c>
      <c r="BY178" s="52">
        <f t="shared" si="51"/>
        <v>0</v>
      </c>
      <c r="BZ178" s="43"/>
      <c r="CA178" s="43"/>
      <c r="CB178" s="52"/>
      <c r="CC178" s="43"/>
      <c r="CD178" s="43"/>
      <c r="CE178" s="52"/>
      <c r="CF178" s="43"/>
      <c r="CG178" s="43"/>
      <c r="CH178" s="52"/>
      <c r="CI178" s="43"/>
      <c r="CJ178" s="43"/>
      <c r="CK178" s="52"/>
      <c r="CL178" s="43"/>
      <c r="CM178" s="43"/>
      <c r="CN178" s="52"/>
      <c r="CO178" s="43"/>
      <c r="CP178" s="43">
        <f>F178</f>
        <v>77.739999999999995</v>
      </c>
      <c r="CQ178" s="52"/>
      <c r="CR178" s="43"/>
      <c r="CS178" s="43"/>
      <c r="CT178" s="52"/>
      <c r="CU178" s="43"/>
      <c r="CV178" s="43"/>
      <c r="CW178" s="77"/>
      <c r="CX178" s="52"/>
      <c r="CY178" s="43"/>
      <c r="CZ178" s="7"/>
      <c r="DA178" s="65"/>
      <c r="DB178" s="43"/>
      <c r="DC178" s="43"/>
      <c r="DD178" s="52"/>
      <c r="DE178" s="73">
        <f t="shared" si="37"/>
        <v>0</v>
      </c>
      <c r="DG178" s="52"/>
      <c r="DH178" s="43"/>
      <c r="DI178" s="50">
        <f t="shared" si="38"/>
        <v>6628.0433333333322</v>
      </c>
      <c r="DK178" s="52"/>
      <c r="DL178" s="43"/>
      <c r="DM178" s="50">
        <f t="shared" si="39"/>
        <v>4432.51</v>
      </c>
      <c r="DO178" s="52"/>
      <c r="DP178" s="43"/>
      <c r="DQ178" s="50">
        <f t="shared" si="40"/>
        <v>7995.9800000000032</v>
      </c>
      <c r="DT178" s="52"/>
      <c r="DU178" s="43"/>
      <c r="DV178" s="50">
        <f t="shared" si="41"/>
        <v>518.17000000000007</v>
      </c>
      <c r="DX178" s="52"/>
      <c r="DY178" s="43"/>
      <c r="DZ178" s="53">
        <f t="shared" si="42"/>
        <v>617.75</v>
      </c>
      <c r="EB178" s="52"/>
      <c r="EC178" s="43"/>
      <c r="ED178" s="53">
        <f t="shared" si="43"/>
        <v>500</v>
      </c>
      <c r="EF178" s="52"/>
      <c r="EG178" s="43"/>
      <c r="EH178" s="53">
        <f t="shared" si="44"/>
        <v>1048.04</v>
      </c>
      <c r="EJ178" s="65"/>
      <c r="EK178" s="7"/>
      <c r="EL178" s="53">
        <f t="shared" si="45"/>
        <v>25.299999999999997</v>
      </c>
      <c r="EN178" s="51">
        <f t="shared" si="46"/>
        <v>-6064.1233333333184</v>
      </c>
      <c r="EP178" s="60">
        <f t="shared" si="47"/>
        <v>-88.03</v>
      </c>
      <c r="EQ178" s="61">
        <f t="shared" si="48"/>
        <v>0</v>
      </c>
      <c r="ER178" s="15">
        <f t="shared" si="49"/>
        <v>0</v>
      </c>
      <c r="ES178" s="62">
        <f t="shared" si="50"/>
        <v>0</v>
      </c>
      <c r="EU178" s="6">
        <v>170</v>
      </c>
    </row>
    <row r="179" spans="1:151" x14ac:dyDescent="0.45">
      <c r="A179" s="9">
        <v>45607</v>
      </c>
      <c r="B179" t="s">
        <v>879</v>
      </c>
      <c r="C179" s="3" t="s">
        <v>633</v>
      </c>
      <c r="D179" s="7"/>
      <c r="E179" s="43">
        <v>24.56</v>
      </c>
      <c r="F179" s="43"/>
      <c r="G179" s="16">
        <f t="shared" si="36"/>
        <v>15726.230000000018</v>
      </c>
      <c r="H179" s="64" t="s">
        <v>625</v>
      </c>
      <c r="I179" s="52"/>
      <c r="J179" s="43"/>
      <c r="K179" s="43"/>
      <c r="L179" s="43"/>
      <c r="M179" s="43"/>
      <c r="N179" s="43"/>
      <c r="O179" s="43"/>
      <c r="P179" s="43"/>
      <c r="Q179" s="43"/>
      <c r="R179" s="43"/>
      <c r="S179" s="43"/>
      <c r="T179" s="43"/>
      <c r="U179" s="43"/>
      <c r="V179" s="43">
        <v>24.56</v>
      </c>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53"/>
      <c r="AS179" s="52"/>
      <c r="AT179" s="43"/>
      <c r="AU179" s="43"/>
      <c r="AV179" s="43"/>
      <c r="AW179" s="43"/>
      <c r="AX179" s="43"/>
      <c r="AY179" s="43"/>
      <c r="AZ179" s="43"/>
      <c r="BA179" s="43"/>
      <c r="BB179" s="43"/>
      <c r="BC179" s="43"/>
      <c r="BD179" s="43"/>
      <c r="BE179" s="43"/>
      <c r="BF179" s="43"/>
      <c r="BG179" s="43"/>
      <c r="BH179" s="43"/>
      <c r="BI179" s="43"/>
      <c r="BJ179" s="43"/>
      <c r="BK179" s="43"/>
      <c r="BL179" s="43"/>
      <c r="BM179" s="43"/>
      <c r="BN179" s="43"/>
      <c r="BO179" s="43"/>
      <c r="BP179" s="43"/>
      <c r="BQ179" s="43"/>
      <c r="BR179" s="43"/>
      <c r="BS179" s="43"/>
      <c r="BT179" s="43"/>
      <c r="BU179" s="43"/>
      <c r="BV179" s="43"/>
      <c r="BW179" s="53"/>
      <c r="BX179" s="30">
        <f t="shared" si="35"/>
        <v>0</v>
      </c>
      <c r="BY179" s="52">
        <f t="shared" si="51"/>
        <v>0</v>
      </c>
      <c r="BZ179" s="43"/>
      <c r="CA179" s="43"/>
      <c r="CB179" s="43"/>
      <c r="CC179" s="43"/>
      <c r="CD179" s="43"/>
      <c r="CE179" s="43"/>
      <c r="CF179" s="43"/>
      <c r="CG179" s="53">
        <f>E179</f>
        <v>24.56</v>
      </c>
      <c r="CH179" s="52"/>
      <c r="CI179" s="43"/>
      <c r="CJ179" s="43"/>
      <c r="CK179" s="43"/>
      <c r="CL179" s="43"/>
      <c r="CM179" s="43"/>
      <c r="CN179" s="43"/>
      <c r="CO179" s="43"/>
      <c r="CP179" s="43"/>
      <c r="CQ179" s="43"/>
      <c r="CR179" s="43"/>
      <c r="CS179" s="43"/>
      <c r="CT179" s="43"/>
      <c r="CU179" s="43"/>
      <c r="CV179" s="43"/>
      <c r="CW179" s="43"/>
      <c r="CX179" s="43"/>
      <c r="CY179" s="43"/>
      <c r="CZ179" s="7"/>
      <c r="DA179" s="7"/>
      <c r="DB179" s="43"/>
      <c r="DC179" s="43"/>
      <c r="DD179" s="53"/>
      <c r="DE179" s="73">
        <f t="shared" si="37"/>
        <v>0</v>
      </c>
      <c r="DG179" s="52"/>
      <c r="DH179" s="43"/>
      <c r="DI179" s="50">
        <f t="shared" si="38"/>
        <v>6628.0433333333322</v>
      </c>
      <c r="DK179" s="52"/>
      <c r="DL179" s="43"/>
      <c r="DM179" s="50">
        <f t="shared" si="39"/>
        <v>4432.51</v>
      </c>
      <c r="DO179" s="52"/>
      <c r="DP179" s="43"/>
      <c r="DQ179" s="50">
        <f t="shared" si="40"/>
        <v>7995.9800000000032</v>
      </c>
      <c r="DT179" s="52"/>
      <c r="DU179" s="43"/>
      <c r="DV179" s="50">
        <f t="shared" si="41"/>
        <v>518.17000000000007</v>
      </c>
      <c r="DX179" s="52"/>
      <c r="DY179" s="43"/>
      <c r="DZ179" s="53">
        <f t="shared" si="42"/>
        <v>617.75</v>
      </c>
      <c r="EB179" s="52"/>
      <c r="EC179" s="43"/>
      <c r="ED179" s="53">
        <f t="shared" si="43"/>
        <v>500</v>
      </c>
      <c r="EF179" s="52"/>
      <c r="EG179" s="43"/>
      <c r="EH179" s="53">
        <f t="shared" si="44"/>
        <v>1048.04</v>
      </c>
      <c r="EJ179" s="65"/>
      <c r="EK179" s="7"/>
      <c r="EL179" s="53">
        <f t="shared" si="45"/>
        <v>25.299999999999997</v>
      </c>
      <c r="EN179" s="51">
        <f t="shared" si="46"/>
        <v>-6039.5633333333171</v>
      </c>
      <c r="EP179" s="60">
        <f t="shared" si="47"/>
        <v>-77.739999999999995</v>
      </c>
      <c r="EQ179" s="61">
        <f t="shared" si="48"/>
        <v>0</v>
      </c>
      <c r="ER179" s="15">
        <f t="shared" si="49"/>
        <v>0</v>
      </c>
      <c r="ES179" s="163">
        <f t="shared" si="50"/>
        <v>0</v>
      </c>
      <c r="EU179">
        <v>171</v>
      </c>
    </row>
    <row r="180" spans="1:151" x14ac:dyDescent="0.45">
      <c r="A180" s="9">
        <v>45608</v>
      </c>
      <c r="B180" t="s">
        <v>994</v>
      </c>
      <c r="C180" s="4" t="s">
        <v>633</v>
      </c>
      <c r="D180" s="7"/>
      <c r="E180" s="43">
        <v>76.16</v>
      </c>
      <c r="F180" s="43"/>
      <c r="G180" s="16">
        <f t="shared" si="36"/>
        <v>15802.390000000018</v>
      </c>
      <c r="H180" s="64" t="s">
        <v>625</v>
      </c>
      <c r="I180" s="52"/>
      <c r="J180" s="43"/>
      <c r="K180" s="43"/>
      <c r="L180" s="43"/>
      <c r="M180" s="43"/>
      <c r="N180" s="43"/>
      <c r="O180" s="43"/>
      <c r="P180" s="43"/>
      <c r="Q180" s="43"/>
      <c r="R180" s="43"/>
      <c r="S180" s="43"/>
      <c r="T180" s="43"/>
      <c r="U180" s="43"/>
      <c r="V180" s="43"/>
      <c r="W180" s="43"/>
      <c r="X180" s="43"/>
      <c r="Y180" s="43"/>
      <c r="Z180" s="43">
        <v>76.16</v>
      </c>
      <c r="AA180" s="43"/>
      <c r="AB180" s="43"/>
      <c r="AC180" s="43"/>
      <c r="AD180" s="43"/>
      <c r="AE180" s="43"/>
      <c r="AF180" s="43"/>
      <c r="AG180" s="43"/>
      <c r="AH180" s="43"/>
      <c r="AI180" s="43"/>
      <c r="AJ180" s="43"/>
      <c r="AK180" s="43"/>
      <c r="AL180" s="43"/>
      <c r="AM180" s="43"/>
      <c r="AN180" s="43"/>
      <c r="AO180" s="43"/>
      <c r="AP180" s="43"/>
      <c r="AQ180" s="43"/>
      <c r="AR180" s="53"/>
      <c r="AS180" s="52"/>
      <c r="AT180" s="43"/>
      <c r="AU180" s="43"/>
      <c r="AV180" s="43"/>
      <c r="AW180" s="43"/>
      <c r="AX180" s="43"/>
      <c r="AY180" s="43"/>
      <c r="AZ180" s="43"/>
      <c r="BA180" s="43"/>
      <c r="BB180" s="43"/>
      <c r="BC180" s="43"/>
      <c r="BD180" s="43"/>
      <c r="BE180" s="43"/>
      <c r="BF180" s="43"/>
      <c r="BG180" s="43"/>
      <c r="BH180" s="43"/>
      <c r="BI180" s="43"/>
      <c r="BJ180" s="43"/>
      <c r="BK180" s="43"/>
      <c r="BL180" s="43"/>
      <c r="BM180" s="43"/>
      <c r="BN180" s="43"/>
      <c r="BO180" s="43"/>
      <c r="BP180" s="43"/>
      <c r="BQ180" s="43"/>
      <c r="BR180" s="43"/>
      <c r="BS180" s="43"/>
      <c r="BT180" s="43"/>
      <c r="BU180" s="43"/>
      <c r="BV180" s="43"/>
      <c r="BW180" s="53"/>
      <c r="BX180" s="30">
        <f t="shared" si="35"/>
        <v>0</v>
      </c>
      <c r="BY180" s="52">
        <f t="shared" si="51"/>
        <v>0</v>
      </c>
      <c r="BZ180" s="43">
        <f t="shared" ref="BZ180:BZ195" si="52">E180</f>
        <v>76.16</v>
      </c>
      <c r="CA180" s="43"/>
      <c r="CB180" s="43"/>
      <c r="CC180" s="43"/>
      <c r="CD180" s="43"/>
      <c r="CE180" s="43"/>
      <c r="CF180" s="43"/>
      <c r="CG180" s="53"/>
      <c r="CH180" s="52"/>
      <c r="CI180" s="43"/>
      <c r="CJ180" s="43"/>
      <c r="CK180" s="43"/>
      <c r="CL180" s="43"/>
      <c r="CM180" s="43"/>
      <c r="CN180" s="43"/>
      <c r="CO180" s="43"/>
      <c r="CP180" s="43"/>
      <c r="CQ180" s="43"/>
      <c r="CR180" s="43"/>
      <c r="CS180" s="43"/>
      <c r="CT180" s="43"/>
      <c r="CU180" s="43"/>
      <c r="CV180" s="43"/>
      <c r="CW180" s="43"/>
      <c r="CX180" s="43"/>
      <c r="CY180" s="43"/>
      <c r="CZ180" s="43"/>
      <c r="DA180" s="43"/>
      <c r="DB180" s="43"/>
      <c r="DC180" s="43"/>
      <c r="DD180" s="53"/>
      <c r="DE180" s="73">
        <f t="shared" si="37"/>
        <v>0</v>
      </c>
      <c r="DG180" s="52"/>
      <c r="DH180" s="43"/>
      <c r="DI180" s="50">
        <f t="shared" si="38"/>
        <v>6628.0433333333322</v>
      </c>
      <c r="DK180" s="52"/>
      <c r="DL180" s="43"/>
      <c r="DM180" s="50">
        <f t="shared" si="39"/>
        <v>4432.51</v>
      </c>
      <c r="DO180" s="52"/>
      <c r="DP180" s="43"/>
      <c r="DQ180" s="50">
        <f t="shared" si="40"/>
        <v>7995.9800000000032</v>
      </c>
      <c r="DT180" s="52"/>
      <c r="DU180" s="43"/>
      <c r="DV180" s="50">
        <f t="shared" si="41"/>
        <v>518.17000000000007</v>
      </c>
      <c r="DX180" s="52"/>
      <c r="DY180" s="43"/>
      <c r="DZ180" s="53">
        <f t="shared" si="42"/>
        <v>617.75</v>
      </c>
      <c r="EB180" s="52"/>
      <c r="EC180" s="43"/>
      <c r="ED180" s="53">
        <f t="shared" si="43"/>
        <v>500</v>
      </c>
      <c r="EF180" s="52"/>
      <c r="EG180" s="43"/>
      <c r="EH180" s="53">
        <f t="shared" si="44"/>
        <v>1048.04</v>
      </c>
      <c r="EJ180" s="65"/>
      <c r="EK180" s="7"/>
      <c r="EL180" s="53">
        <f t="shared" si="45"/>
        <v>25.299999999999997</v>
      </c>
      <c r="EN180" s="51">
        <f t="shared" si="46"/>
        <v>-5963.4033333333173</v>
      </c>
      <c r="EP180" s="60">
        <f t="shared" si="47"/>
        <v>0</v>
      </c>
      <c r="EQ180" s="61">
        <f t="shared" si="48"/>
        <v>0</v>
      </c>
      <c r="ER180" s="15">
        <f t="shared" si="49"/>
        <v>0</v>
      </c>
      <c r="ES180" s="62">
        <f t="shared" si="50"/>
        <v>0</v>
      </c>
      <c r="EU180" s="6">
        <v>172</v>
      </c>
    </row>
    <row r="181" spans="1:151" x14ac:dyDescent="0.45">
      <c r="A181" s="9">
        <v>45609</v>
      </c>
      <c r="B181" t="s">
        <v>995</v>
      </c>
      <c r="C181" s="4" t="s">
        <v>633</v>
      </c>
      <c r="D181" s="7"/>
      <c r="E181" s="43">
        <v>45</v>
      </c>
      <c r="F181" s="43"/>
      <c r="G181" s="16">
        <f t="shared" si="36"/>
        <v>15847.390000000018</v>
      </c>
      <c r="H181" s="64" t="s">
        <v>625</v>
      </c>
      <c r="I181" s="52"/>
      <c r="J181" s="43"/>
      <c r="K181" s="43"/>
      <c r="L181" s="43"/>
      <c r="M181" s="43"/>
      <c r="N181" s="43"/>
      <c r="O181" s="43"/>
      <c r="P181" s="43"/>
      <c r="Q181" s="43"/>
      <c r="R181" s="43"/>
      <c r="S181" s="43"/>
      <c r="T181" s="43"/>
      <c r="U181" s="43"/>
      <c r="V181" s="43"/>
      <c r="W181" s="43"/>
      <c r="X181" s="43"/>
      <c r="Y181" s="43"/>
      <c r="Z181" s="43">
        <v>45</v>
      </c>
      <c r="AA181" s="43"/>
      <c r="AB181" s="43"/>
      <c r="AC181" s="43"/>
      <c r="AD181" s="43"/>
      <c r="AE181" s="43"/>
      <c r="AF181" s="43"/>
      <c r="AG181" s="43"/>
      <c r="AH181" s="43"/>
      <c r="AI181" s="43"/>
      <c r="AJ181" s="43"/>
      <c r="AK181" s="43"/>
      <c r="AL181" s="43"/>
      <c r="AM181" s="43"/>
      <c r="AN181" s="43"/>
      <c r="AO181" s="43"/>
      <c r="AP181" s="43"/>
      <c r="AQ181" s="43"/>
      <c r="AR181" s="53"/>
      <c r="AS181" s="52"/>
      <c r="AT181" s="43"/>
      <c r="AU181" s="43"/>
      <c r="AV181" s="43"/>
      <c r="AW181" s="43"/>
      <c r="AX181" s="43"/>
      <c r="AY181" s="43"/>
      <c r="AZ181" s="43"/>
      <c r="BA181" s="43"/>
      <c r="BB181" s="43"/>
      <c r="BC181" s="43"/>
      <c r="BD181" s="43"/>
      <c r="BE181" s="43"/>
      <c r="BF181" s="43"/>
      <c r="BG181" s="43"/>
      <c r="BH181" s="43"/>
      <c r="BI181" s="43"/>
      <c r="BJ181" s="43"/>
      <c r="BK181" s="43"/>
      <c r="BL181" s="43"/>
      <c r="BM181" s="43"/>
      <c r="BN181" s="43"/>
      <c r="BO181" s="43"/>
      <c r="BP181" s="43"/>
      <c r="BQ181" s="43"/>
      <c r="BR181" s="43"/>
      <c r="BS181" s="43"/>
      <c r="BT181" s="43"/>
      <c r="BU181" s="43"/>
      <c r="BV181" s="43"/>
      <c r="BW181" s="53"/>
      <c r="BX181" s="30">
        <f t="shared" si="35"/>
        <v>0</v>
      </c>
      <c r="BY181" s="52">
        <f t="shared" si="51"/>
        <v>0</v>
      </c>
      <c r="BZ181" s="43">
        <f t="shared" si="52"/>
        <v>45</v>
      </c>
      <c r="CA181" s="43"/>
      <c r="CB181" s="43"/>
      <c r="CC181" s="43"/>
      <c r="CD181" s="43"/>
      <c r="CE181" s="43"/>
      <c r="CF181" s="43"/>
      <c r="CG181" s="53"/>
      <c r="CH181" s="52"/>
      <c r="CI181" s="43"/>
      <c r="CJ181" s="43"/>
      <c r="CK181" s="43"/>
      <c r="CL181" s="43"/>
      <c r="CM181" s="43"/>
      <c r="CN181" s="43"/>
      <c r="CO181" s="43"/>
      <c r="CP181" s="43"/>
      <c r="CQ181" s="43"/>
      <c r="CR181" s="43"/>
      <c r="CS181" s="43"/>
      <c r="CT181" s="43"/>
      <c r="CU181" s="43"/>
      <c r="CV181" s="43"/>
      <c r="CW181" s="43"/>
      <c r="CX181" s="43"/>
      <c r="CY181" s="43"/>
      <c r="CZ181" s="7"/>
      <c r="DA181" s="7"/>
      <c r="DB181" s="43"/>
      <c r="DC181" s="43"/>
      <c r="DD181" s="53"/>
      <c r="DE181" s="73">
        <f t="shared" si="37"/>
        <v>0</v>
      </c>
      <c r="DG181" s="52"/>
      <c r="DH181" s="43"/>
      <c r="DI181" s="50">
        <f t="shared" si="38"/>
        <v>6628.0433333333322</v>
      </c>
      <c r="DK181" s="52"/>
      <c r="DL181" s="43"/>
      <c r="DM181" s="50">
        <f t="shared" si="39"/>
        <v>4432.51</v>
      </c>
      <c r="DO181" s="52"/>
      <c r="DP181" s="43"/>
      <c r="DQ181" s="50">
        <f t="shared" si="40"/>
        <v>7995.9800000000032</v>
      </c>
      <c r="DT181" s="52"/>
      <c r="DU181" s="43"/>
      <c r="DV181" s="50">
        <f t="shared" si="41"/>
        <v>518.17000000000007</v>
      </c>
      <c r="DX181" s="52"/>
      <c r="DY181" s="43"/>
      <c r="DZ181" s="53">
        <f t="shared" si="42"/>
        <v>617.75</v>
      </c>
      <c r="EB181" s="52"/>
      <c r="EC181" s="43"/>
      <c r="ED181" s="53">
        <f t="shared" si="43"/>
        <v>500</v>
      </c>
      <c r="EF181" s="52"/>
      <c r="EG181" s="43"/>
      <c r="EH181" s="53">
        <f t="shared" si="44"/>
        <v>1048.04</v>
      </c>
      <c r="EJ181" s="65"/>
      <c r="EK181" s="7"/>
      <c r="EL181" s="53">
        <f t="shared" si="45"/>
        <v>25.299999999999997</v>
      </c>
      <c r="EN181" s="51">
        <f t="shared" si="46"/>
        <v>-5918.4033333333173</v>
      </c>
      <c r="EP181" s="60">
        <f t="shared" si="47"/>
        <v>0</v>
      </c>
      <c r="EQ181" s="61">
        <f t="shared" si="48"/>
        <v>0</v>
      </c>
      <c r="ER181" s="15">
        <f t="shared" si="49"/>
        <v>0</v>
      </c>
      <c r="ES181" s="163">
        <f t="shared" si="50"/>
        <v>0</v>
      </c>
      <c r="EU181">
        <v>173</v>
      </c>
    </row>
    <row r="182" spans="1:151" x14ac:dyDescent="0.45">
      <c r="A182" s="9">
        <v>45609</v>
      </c>
      <c r="B182" t="s">
        <v>997</v>
      </c>
      <c r="C182" s="4" t="s">
        <v>633</v>
      </c>
      <c r="D182" s="7"/>
      <c r="E182" s="43">
        <v>45</v>
      </c>
      <c r="F182" s="43"/>
      <c r="G182" s="16">
        <f t="shared" si="36"/>
        <v>15892.390000000018</v>
      </c>
      <c r="H182" s="64" t="s">
        <v>625</v>
      </c>
      <c r="I182" s="52"/>
      <c r="J182" s="43"/>
      <c r="K182" s="43"/>
      <c r="L182" s="43"/>
      <c r="M182" s="43"/>
      <c r="N182" s="43"/>
      <c r="O182" s="43"/>
      <c r="P182" s="43"/>
      <c r="Q182" s="43"/>
      <c r="R182" s="43"/>
      <c r="S182" s="43"/>
      <c r="T182" s="43"/>
      <c r="U182" s="43"/>
      <c r="V182" s="43"/>
      <c r="W182" s="43"/>
      <c r="X182" s="43"/>
      <c r="Y182" s="43"/>
      <c r="Z182" s="43">
        <v>45</v>
      </c>
      <c r="AA182" s="43"/>
      <c r="AB182" s="43"/>
      <c r="AC182" s="43"/>
      <c r="AD182" s="43"/>
      <c r="AE182" s="43"/>
      <c r="AF182" s="43"/>
      <c r="AG182" s="43"/>
      <c r="AH182" s="43"/>
      <c r="AI182" s="43"/>
      <c r="AJ182" s="43"/>
      <c r="AK182" s="43"/>
      <c r="AL182" s="43"/>
      <c r="AM182" s="43"/>
      <c r="AN182" s="43"/>
      <c r="AO182" s="43"/>
      <c r="AP182" s="43"/>
      <c r="AQ182" s="43"/>
      <c r="AR182" s="53"/>
      <c r="AS182" s="52"/>
      <c r="AT182" s="43"/>
      <c r="AU182" s="43"/>
      <c r="AV182" s="43"/>
      <c r="AW182" s="43"/>
      <c r="AX182" s="43"/>
      <c r="AY182" s="43"/>
      <c r="AZ182" s="43"/>
      <c r="BA182" s="43"/>
      <c r="BB182" s="43"/>
      <c r="BC182" s="43"/>
      <c r="BD182" s="43"/>
      <c r="BE182" s="43"/>
      <c r="BF182" s="43"/>
      <c r="BG182" s="43"/>
      <c r="BH182" s="43"/>
      <c r="BI182" s="43"/>
      <c r="BJ182" s="43"/>
      <c r="BK182" s="43"/>
      <c r="BL182" s="43"/>
      <c r="BM182" s="43"/>
      <c r="BN182" s="43"/>
      <c r="BO182" s="43"/>
      <c r="BP182" s="43"/>
      <c r="BQ182" s="43"/>
      <c r="BR182" s="43"/>
      <c r="BS182" s="43"/>
      <c r="BT182" s="43"/>
      <c r="BU182" s="43"/>
      <c r="BV182" s="43"/>
      <c r="BW182" s="53"/>
      <c r="BX182" s="30">
        <f t="shared" si="35"/>
        <v>0</v>
      </c>
      <c r="BY182" s="52">
        <f t="shared" si="51"/>
        <v>0</v>
      </c>
      <c r="BZ182" s="43">
        <f t="shared" si="52"/>
        <v>45</v>
      </c>
      <c r="CA182" s="43"/>
      <c r="CB182" s="43"/>
      <c r="CC182" s="43"/>
      <c r="CD182" s="43"/>
      <c r="CE182" s="43"/>
      <c r="CF182" s="43"/>
      <c r="CG182" s="53"/>
      <c r="CH182" s="52"/>
      <c r="CI182" s="43"/>
      <c r="CJ182" s="43"/>
      <c r="CK182" s="43"/>
      <c r="CL182" s="43"/>
      <c r="CM182" s="43"/>
      <c r="CN182" s="43"/>
      <c r="CO182" s="43"/>
      <c r="CP182" s="43"/>
      <c r="CQ182" s="43"/>
      <c r="CR182" s="43"/>
      <c r="CS182" s="43"/>
      <c r="CT182" s="43"/>
      <c r="CU182" s="43"/>
      <c r="CV182" s="43"/>
      <c r="CW182" s="43"/>
      <c r="CX182" s="43"/>
      <c r="CY182" s="43"/>
      <c r="CZ182" s="7"/>
      <c r="DA182" s="7"/>
      <c r="DB182" s="43"/>
      <c r="DC182" s="43"/>
      <c r="DD182" s="53"/>
      <c r="DE182" s="73">
        <f t="shared" si="37"/>
        <v>0</v>
      </c>
      <c r="DG182" s="52"/>
      <c r="DH182" s="43"/>
      <c r="DI182" s="50">
        <f t="shared" si="38"/>
        <v>6628.0433333333322</v>
      </c>
      <c r="DK182" s="52"/>
      <c r="DL182" s="43"/>
      <c r="DM182" s="53">
        <f t="shared" si="39"/>
        <v>4432.51</v>
      </c>
      <c r="DO182" s="52"/>
      <c r="DP182" s="43"/>
      <c r="DQ182" s="50">
        <f t="shared" si="40"/>
        <v>7995.9800000000032</v>
      </c>
      <c r="DT182" s="52"/>
      <c r="DU182" s="43"/>
      <c r="DV182" s="50">
        <f t="shared" si="41"/>
        <v>518.17000000000007</v>
      </c>
      <c r="DX182" s="52"/>
      <c r="DY182" s="43"/>
      <c r="DZ182" s="53">
        <f t="shared" si="42"/>
        <v>617.75</v>
      </c>
      <c r="EB182" s="52"/>
      <c r="EC182" s="43"/>
      <c r="ED182" s="53">
        <f t="shared" si="43"/>
        <v>500</v>
      </c>
      <c r="EF182" s="52"/>
      <c r="EG182" s="43"/>
      <c r="EH182" s="53">
        <f t="shared" si="44"/>
        <v>1048.04</v>
      </c>
      <c r="EJ182" s="65"/>
      <c r="EK182" s="7"/>
      <c r="EL182" s="53">
        <f t="shared" si="45"/>
        <v>25.299999999999997</v>
      </c>
      <c r="EN182" s="51">
        <f t="shared" si="46"/>
        <v>-5873.4033333333173</v>
      </c>
      <c r="EP182" s="60">
        <f t="shared" si="47"/>
        <v>0</v>
      </c>
      <c r="EQ182" s="61">
        <f t="shared" si="48"/>
        <v>0</v>
      </c>
      <c r="ER182" s="15">
        <f t="shared" si="49"/>
        <v>0</v>
      </c>
      <c r="ES182" s="62">
        <f t="shared" si="50"/>
        <v>0</v>
      </c>
      <c r="EU182" s="6">
        <v>174</v>
      </c>
    </row>
    <row r="183" spans="1:151" x14ac:dyDescent="0.45">
      <c r="A183" s="9">
        <v>45609</v>
      </c>
      <c r="B183" t="s">
        <v>996</v>
      </c>
      <c r="C183" s="4" t="s">
        <v>633</v>
      </c>
      <c r="D183" s="7"/>
      <c r="E183" s="43">
        <v>45</v>
      </c>
      <c r="F183" s="43"/>
      <c r="G183" s="16">
        <f t="shared" si="36"/>
        <v>15937.390000000018</v>
      </c>
      <c r="H183" s="64" t="s">
        <v>625</v>
      </c>
      <c r="I183" s="52"/>
      <c r="J183" s="43"/>
      <c r="K183" s="43"/>
      <c r="L183" s="43"/>
      <c r="M183" s="43"/>
      <c r="N183" s="43"/>
      <c r="O183" s="43"/>
      <c r="P183" s="43"/>
      <c r="Q183" s="43"/>
      <c r="R183" s="43"/>
      <c r="S183" s="43"/>
      <c r="T183" s="43"/>
      <c r="U183" s="43"/>
      <c r="V183" s="43"/>
      <c r="W183" s="43"/>
      <c r="X183" s="43"/>
      <c r="Y183" s="43"/>
      <c r="Z183" s="43"/>
      <c r="AA183" s="43">
        <v>45</v>
      </c>
      <c r="AB183" s="43"/>
      <c r="AC183" s="43"/>
      <c r="AD183" s="43"/>
      <c r="AE183" s="43"/>
      <c r="AF183" s="43"/>
      <c r="AG183" s="43"/>
      <c r="AH183" s="43"/>
      <c r="AI183" s="43"/>
      <c r="AJ183" s="43"/>
      <c r="AK183" s="43"/>
      <c r="AL183" s="43"/>
      <c r="AM183" s="43"/>
      <c r="AN183" s="43"/>
      <c r="AO183" s="43"/>
      <c r="AP183" s="43"/>
      <c r="AQ183" s="43"/>
      <c r="AR183" s="53"/>
      <c r="AS183" s="52"/>
      <c r="AT183" s="43"/>
      <c r="AU183" s="43"/>
      <c r="AV183" s="43"/>
      <c r="AW183" s="43"/>
      <c r="AX183" s="43"/>
      <c r="AY183" s="43"/>
      <c r="AZ183" s="43"/>
      <c r="BA183" s="43"/>
      <c r="BB183" s="43"/>
      <c r="BC183" s="43"/>
      <c r="BD183" s="43"/>
      <c r="BE183" s="43"/>
      <c r="BF183" s="43"/>
      <c r="BG183" s="43"/>
      <c r="BH183" s="43"/>
      <c r="BI183" s="43"/>
      <c r="BJ183" s="43"/>
      <c r="BK183" s="43"/>
      <c r="BL183" s="43"/>
      <c r="BM183" s="43"/>
      <c r="BN183" s="43"/>
      <c r="BO183" s="43"/>
      <c r="BP183" s="43"/>
      <c r="BQ183" s="43"/>
      <c r="BR183" s="43"/>
      <c r="BS183" s="43"/>
      <c r="BT183" s="43"/>
      <c r="BU183" s="43"/>
      <c r="BV183" s="43"/>
      <c r="BW183" s="53"/>
      <c r="BX183" s="30">
        <f t="shared" si="35"/>
        <v>0</v>
      </c>
      <c r="BY183" s="52">
        <f t="shared" si="51"/>
        <v>0</v>
      </c>
      <c r="BZ183" s="43">
        <f t="shared" si="52"/>
        <v>45</v>
      </c>
      <c r="CA183" s="43"/>
      <c r="CB183" s="43"/>
      <c r="CC183" s="43"/>
      <c r="CD183" s="43"/>
      <c r="CE183" s="43"/>
      <c r="CF183" s="43"/>
      <c r="CG183" s="53"/>
      <c r="CH183" s="52"/>
      <c r="CI183" s="43"/>
      <c r="CJ183" s="43"/>
      <c r="CK183" s="43"/>
      <c r="CL183" s="43"/>
      <c r="CM183" s="43"/>
      <c r="CN183" s="43"/>
      <c r="CO183" s="43"/>
      <c r="CP183" s="43"/>
      <c r="CQ183" s="43"/>
      <c r="CR183" s="43"/>
      <c r="CS183" s="43"/>
      <c r="CT183" s="43"/>
      <c r="CU183" s="43"/>
      <c r="CV183" s="43"/>
      <c r="CW183" s="43"/>
      <c r="CX183" s="43"/>
      <c r="CY183" s="43"/>
      <c r="CZ183" s="7"/>
      <c r="DA183" s="7"/>
      <c r="DB183" s="43"/>
      <c r="DC183" s="43"/>
      <c r="DD183" s="53"/>
      <c r="DE183" s="73">
        <f t="shared" si="37"/>
        <v>0</v>
      </c>
      <c r="DG183" s="52"/>
      <c r="DH183" s="43"/>
      <c r="DI183" s="50">
        <f t="shared" si="38"/>
        <v>6628.0433333333322</v>
      </c>
      <c r="DK183" s="52"/>
      <c r="DL183" s="43"/>
      <c r="DM183" s="50">
        <f t="shared" si="39"/>
        <v>4432.51</v>
      </c>
      <c r="DO183" s="52"/>
      <c r="DP183" s="43"/>
      <c r="DQ183" s="50">
        <f t="shared" si="40"/>
        <v>7995.9800000000032</v>
      </c>
      <c r="DT183" s="52"/>
      <c r="DU183" s="43"/>
      <c r="DV183" s="50">
        <f t="shared" si="41"/>
        <v>518.17000000000007</v>
      </c>
      <c r="DX183" s="52"/>
      <c r="DY183" s="43"/>
      <c r="DZ183" s="53">
        <f t="shared" si="42"/>
        <v>617.75</v>
      </c>
      <c r="EB183" s="52"/>
      <c r="EC183" s="43"/>
      <c r="ED183" s="53">
        <f t="shared" si="43"/>
        <v>500</v>
      </c>
      <c r="EF183" s="52"/>
      <c r="EG183" s="43"/>
      <c r="EH183" s="53">
        <f t="shared" si="44"/>
        <v>1048.04</v>
      </c>
      <c r="EJ183" s="65"/>
      <c r="EK183" s="7"/>
      <c r="EL183" s="53">
        <f t="shared" si="45"/>
        <v>25.299999999999997</v>
      </c>
      <c r="EN183" s="51">
        <f t="shared" si="46"/>
        <v>-5828.4033333333173</v>
      </c>
      <c r="EP183" s="60">
        <f t="shared" si="47"/>
        <v>0</v>
      </c>
      <c r="EQ183" s="61">
        <f t="shared" si="48"/>
        <v>0</v>
      </c>
      <c r="ER183" s="15">
        <f t="shared" si="49"/>
        <v>0</v>
      </c>
      <c r="ES183" s="163">
        <f t="shared" si="50"/>
        <v>0</v>
      </c>
      <c r="EU183">
        <v>175</v>
      </c>
    </row>
    <row r="184" spans="1:151" x14ac:dyDescent="0.45">
      <c r="A184" s="9">
        <v>45609</v>
      </c>
      <c r="B184" t="s">
        <v>880</v>
      </c>
      <c r="C184" s="4" t="s">
        <v>633</v>
      </c>
      <c r="D184" s="7"/>
      <c r="E184" s="43">
        <v>45</v>
      </c>
      <c r="F184" s="43"/>
      <c r="G184" s="16">
        <f t="shared" si="36"/>
        <v>15982.390000000018</v>
      </c>
      <c r="H184" s="64" t="s">
        <v>625</v>
      </c>
      <c r="I184" s="52"/>
      <c r="J184" s="43"/>
      <c r="K184" s="43"/>
      <c r="L184" s="43"/>
      <c r="M184" s="43"/>
      <c r="N184" s="43"/>
      <c r="O184" s="43"/>
      <c r="P184" s="43"/>
      <c r="Q184" s="43"/>
      <c r="R184" s="43"/>
      <c r="S184" s="43"/>
      <c r="T184" s="43"/>
      <c r="U184" s="43"/>
      <c r="V184" s="43"/>
      <c r="W184" s="43"/>
      <c r="X184" s="43"/>
      <c r="Y184" s="43"/>
      <c r="Z184" s="43"/>
      <c r="AA184" s="43">
        <v>45</v>
      </c>
      <c r="AB184" s="43"/>
      <c r="AC184" s="43"/>
      <c r="AD184" s="43"/>
      <c r="AE184" s="43"/>
      <c r="AF184" s="43"/>
      <c r="AG184" s="43"/>
      <c r="AH184" s="43"/>
      <c r="AI184" s="43"/>
      <c r="AJ184" s="43"/>
      <c r="AK184" s="43"/>
      <c r="AL184" s="43"/>
      <c r="AM184" s="43"/>
      <c r="AN184" s="43"/>
      <c r="AO184" s="43"/>
      <c r="AP184" s="43"/>
      <c r="AQ184" s="43"/>
      <c r="AR184" s="53"/>
      <c r="AS184" s="52"/>
      <c r="AT184" s="43"/>
      <c r="AU184" s="43"/>
      <c r="AV184" s="43"/>
      <c r="AW184" s="43"/>
      <c r="AX184" s="43"/>
      <c r="AY184" s="43"/>
      <c r="AZ184" s="43"/>
      <c r="BA184" s="43"/>
      <c r="BB184" s="43"/>
      <c r="BC184" s="43"/>
      <c r="BD184" s="43"/>
      <c r="BE184" s="43"/>
      <c r="BF184" s="43"/>
      <c r="BG184" s="43"/>
      <c r="BH184" s="43"/>
      <c r="BI184" s="43"/>
      <c r="BJ184" s="43"/>
      <c r="BK184" s="43"/>
      <c r="BL184" s="43"/>
      <c r="BM184" s="43"/>
      <c r="BN184" s="43"/>
      <c r="BO184" s="43"/>
      <c r="BP184" s="43"/>
      <c r="BQ184" s="43"/>
      <c r="BR184" s="43"/>
      <c r="BS184" s="43"/>
      <c r="BT184" s="43"/>
      <c r="BU184" s="43"/>
      <c r="BV184" s="43"/>
      <c r="BW184" s="53"/>
      <c r="BX184" s="30">
        <f t="shared" si="35"/>
        <v>0</v>
      </c>
      <c r="BY184" s="52">
        <f t="shared" si="51"/>
        <v>0</v>
      </c>
      <c r="BZ184" s="43">
        <f t="shared" si="52"/>
        <v>45</v>
      </c>
      <c r="CA184" s="43"/>
      <c r="CB184" s="43"/>
      <c r="CC184" s="43"/>
      <c r="CD184" s="43"/>
      <c r="CE184" s="43"/>
      <c r="CF184" s="43"/>
      <c r="CG184" s="53"/>
      <c r="CH184" s="52"/>
      <c r="CI184" s="43"/>
      <c r="CJ184" s="43"/>
      <c r="CK184" s="43"/>
      <c r="CL184" s="43"/>
      <c r="CM184" s="43"/>
      <c r="CN184" s="43"/>
      <c r="CO184" s="43"/>
      <c r="CP184" s="43"/>
      <c r="CQ184" s="43"/>
      <c r="CR184" s="43"/>
      <c r="CS184" s="43"/>
      <c r="CT184" s="43"/>
      <c r="CU184" s="43"/>
      <c r="CV184" s="43"/>
      <c r="CW184" s="43"/>
      <c r="CX184" s="43"/>
      <c r="CY184" s="43"/>
      <c r="CZ184" s="7"/>
      <c r="DA184" s="7"/>
      <c r="DB184" s="43"/>
      <c r="DC184" s="43"/>
      <c r="DD184" s="53"/>
      <c r="DE184" s="73">
        <f t="shared" si="37"/>
        <v>0</v>
      </c>
      <c r="DG184" s="52"/>
      <c r="DH184" s="43"/>
      <c r="DI184" s="50">
        <f t="shared" si="38"/>
        <v>6628.0433333333322</v>
      </c>
      <c r="DK184" s="52"/>
      <c r="DL184" s="43"/>
      <c r="DM184" s="50">
        <f t="shared" si="39"/>
        <v>4432.51</v>
      </c>
      <c r="DO184" s="52"/>
      <c r="DP184" s="43"/>
      <c r="DQ184" s="50">
        <f t="shared" si="40"/>
        <v>7995.9800000000032</v>
      </c>
      <c r="DT184" s="52"/>
      <c r="DU184" s="43"/>
      <c r="DV184" s="50">
        <f t="shared" si="41"/>
        <v>518.17000000000007</v>
      </c>
      <c r="DX184" s="52"/>
      <c r="DY184" s="43"/>
      <c r="DZ184" s="53">
        <f t="shared" si="42"/>
        <v>617.75</v>
      </c>
      <c r="EB184" s="52"/>
      <c r="EC184" s="43"/>
      <c r="ED184" s="53">
        <f t="shared" si="43"/>
        <v>500</v>
      </c>
      <c r="EF184" s="52"/>
      <c r="EG184" s="43"/>
      <c r="EH184" s="53">
        <f t="shared" si="44"/>
        <v>1048.04</v>
      </c>
      <c r="EJ184" s="65"/>
      <c r="EK184" s="7"/>
      <c r="EL184" s="53">
        <f t="shared" si="45"/>
        <v>25.299999999999997</v>
      </c>
      <c r="EN184" s="51">
        <f t="shared" si="46"/>
        <v>-5783.4033333333173</v>
      </c>
      <c r="EP184" s="60">
        <f t="shared" si="47"/>
        <v>0</v>
      </c>
      <c r="EQ184" s="61">
        <f t="shared" si="48"/>
        <v>0</v>
      </c>
      <c r="ER184" s="15">
        <f t="shared" si="49"/>
        <v>0</v>
      </c>
      <c r="ES184" s="62">
        <f t="shared" si="50"/>
        <v>0</v>
      </c>
      <c r="EU184" s="6">
        <v>176</v>
      </c>
    </row>
    <row r="185" spans="1:151" x14ac:dyDescent="0.45">
      <c r="A185" s="9">
        <v>45609</v>
      </c>
      <c r="B185" t="s">
        <v>881</v>
      </c>
      <c r="C185" s="4" t="s">
        <v>633</v>
      </c>
      <c r="D185" s="7"/>
      <c r="E185" s="43">
        <v>57.12</v>
      </c>
      <c r="F185" s="43"/>
      <c r="G185" s="16">
        <f t="shared" si="36"/>
        <v>16039.510000000018</v>
      </c>
      <c r="H185" s="64" t="s">
        <v>625</v>
      </c>
      <c r="I185" s="52"/>
      <c r="J185" s="43"/>
      <c r="K185" s="43"/>
      <c r="L185" s="43"/>
      <c r="M185" s="43"/>
      <c r="N185" s="43"/>
      <c r="O185" s="43"/>
      <c r="P185" s="43"/>
      <c r="Q185" s="43"/>
      <c r="R185" s="43"/>
      <c r="S185" s="43"/>
      <c r="T185" s="43"/>
      <c r="U185" s="43"/>
      <c r="V185" s="43"/>
      <c r="W185" s="43"/>
      <c r="X185" s="43"/>
      <c r="Y185" s="43">
        <v>57.12</v>
      </c>
      <c r="Z185" s="43"/>
      <c r="AA185" s="43"/>
      <c r="AB185" s="43"/>
      <c r="AC185" s="43"/>
      <c r="AD185" s="43"/>
      <c r="AE185" s="43"/>
      <c r="AF185" s="43"/>
      <c r="AG185" s="43"/>
      <c r="AH185" s="43"/>
      <c r="AI185" s="43"/>
      <c r="AJ185" s="43"/>
      <c r="AK185" s="43"/>
      <c r="AL185" s="43"/>
      <c r="AM185" s="43"/>
      <c r="AN185" s="43"/>
      <c r="AO185" s="43"/>
      <c r="AP185" s="43"/>
      <c r="AQ185" s="43"/>
      <c r="AR185" s="53"/>
      <c r="AS185" s="52"/>
      <c r="AT185" s="43"/>
      <c r="AU185" s="43"/>
      <c r="AV185" s="43"/>
      <c r="AW185" s="43"/>
      <c r="AX185" s="43"/>
      <c r="AY185" s="43"/>
      <c r="AZ185" s="43"/>
      <c r="BA185" s="43"/>
      <c r="BB185" s="43"/>
      <c r="BC185" s="43"/>
      <c r="BD185" s="43"/>
      <c r="BE185" s="43"/>
      <c r="BF185" s="43"/>
      <c r="BG185" s="43"/>
      <c r="BH185" s="43"/>
      <c r="BI185" s="43"/>
      <c r="BJ185" s="43"/>
      <c r="BK185" s="43"/>
      <c r="BL185" s="43"/>
      <c r="BM185" s="43"/>
      <c r="BN185" s="43"/>
      <c r="BO185" s="43"/>
      <c r="BP185" s="43"/>
      <c r="BQ185" s="43"/>
      <c r="BR185" s="43"/>
      <c r="BS185" s="43"/>
      <c r="BT185" s="43"/>
      <c r="BU185" s="43"/>
      <c r="BV185" s="43"/>
      <c r="BW185" s="53"/>
      <c r="BX185" s="30">
        <f t="shared" si="35"/>
        <v>0</v>
      </c>
      <c r="BY185" s="52">
        <f t="shared" si="51"/>
        <v>0</v>
      </c>
      <c r="BZ185" s="43">
        <f t="shared" si="52"/>
        <v>57.12</v>
      </c>
      <c r="CA185" s="43"/>
      <c r="CB185" s="43"/>
      <c r="CC185" s="43"/>
      <c r="CD185" s="43"/>
      <c r="CE185" s="43"/>
      <c r="CF185" s="43"/>
      <c r="CG185" s="53"/>
      <c r="CH185" s="52"/>
      <c r="CI185" s="43"/>
      <c r="CJ185" s="43"/>
      <c r="CK185" s="43"/>
      <c r="CL185" s="43"/>
      <c r="CM185" s="43"/>
      <c r="CN185" s="43"/>
      <c r="CO185" s="43"/>
      <c r="CP185" s="43"/>
      <c r="CQ185" s="43"/>
      <c r="CR185" s="43"/>
      <c r="CS185" s="43"/>
      <c r="CT185" s="43"/>
      <c r="CU185" s="43"/>
      <c r="CV185" s="43"/>
      <c r="CW185" s="43"/>
      <c r="CX185" s="43"/>
      <c r="CY185" s="43"/>
      <c r="CZ185" s="7"/>
      <c r="DA185" s="7"/>
      <c r="DB185" s="43"/>
      <c r="DC185" s="43"/>
      <c r="DD185" s="53"/>
      <c r="DE185" s="73">
        <f t="shared" si="37"/>
        <v>0</v>
      </c>
      <c r="DG185" s="52"/>
      <c r="DH185" s="43"/>
      <c r="DI185" s="50">
        <f t="shared" si="38"/>
        <v>6628.0433333333322</v>
      </c>
      <c r="DK185" s="52"/>
      <c r="DL185" s="43"/>
      <c r="DM185" s="50">
        <f t="shared" si="39"/>
        <v>4432.51</v>
      </c>
      <c r="DO185" s="52"/>
      <c r="DP185" s="43"/>
      <c r="DQ185" s="50">
        <f t="shared" si="40"/>
        <v>7995.9800000000032</v>
      </c>
      <c r="DT185" s="52"/>
      <c r="DU185" s="43"/>
      <c r="DV185" s="50">
        <f t="shared" si="41"/>
        <v>518.17000000000007</v>
      </c>
      <c r="DX185" s="52"/>
      <c r="DY185" s="43"/>
      <c r="DZ185" s="53">
        <f t="shared" si="42"/>
        <v>617.75</v>
      </c>
      <c r="EB185" s="52"/>
      <c r="EC185" s="43"/>
      <c r="ED185" s="53">
        <f t="shared" si="43"/>
        <v>500</v>
      </c>
      <c r="EF185" s="52"/>
      <c r="EG185" s="43"/>
      <c r="EH185" s="53">
        <f t="shared" si="44"/>
        <v>1048.04</v>
      </c>
      <c r="EJ185" s="65"/>
      <c r="EK185" s="7"/>
      <c r="EL185" s="53">
        <f t="shared" si="45"/>
        <v>25.299999999999997</v>
      </c>
      <c r="EN185" s="51">
        <f t="shared" si="46"/>
        <v>-5726.2833333333183</v>
      </c>
      <c r="EP185" s="60">
        <f t="shared" si="47"/>
        <v>0</v>
      </c>
      <c r="EQ185" s="61">
        <f t="shared" si="48"/>
        <v>0</v>
      </c>
      <c r="ER185" s="15">
        <f t="shared" si="49"/>
        <v>0</v>
      </c>
      <c r="ES185" s="163">
        <f t="shared" si="50"/>
        <v>0</v>
      </c>
      <c r="EU185">
        <v>177</v>
      </c>
    </row>
    <row r="186" spans="1:151" x14ac:dyDescent="0.45">
      <c r="A186" s="9">
        <v>45609</v>
      </c>
      <c r="B186" t="s">
        <v>882</v>
      </c>
      <c r="C186" s="4" t="s">
        <v>633</v>
      </c>
      <c r="D186" s="7"/>
      <c r="E186" s="43">
        <v>19.04</v>
      </c>
      <c r="F186" s="43"/>
      <c r="G186" s="16">
        <f t="shared" si="36"/>
        <v>16058.550000000019</v>
      </c>
      <c r="H186" s="64" t="s">
        <v>625</v>
      </c>
      <c r="I186" s="52"/>
      <c r="J186" s="43"/>
      <c r="K186" s="43"/>
      <c r="L186" s="43"/>
      <c r="M186" s="43"/>
      <c r="N186" s="43"/>
      <c r="O186" s="43"/>
      <c r="P186" s="43"/>
      <c r="Q186" s="43"/>
      <c r="R186" s="43"/>
      <c r="S186" s="43"/>
      <c r="T186" s="43"/>
      <c r="U186" s="43"/>
      <c r="V186" s="43"/>
      <c r="W186" s="43"/>
      <c r="X186" s="43"/>
      <c r="Y186" s="43"/>
      <c r="Z186" s="43">
        <v>19.04</v>
      </c>
      <c r="AA186" s="43"/>
      <c r="AB186" s="43"/>
      <c r="AC186" s="43"/>
      <c r="AD186" s="43"/>
      <c r="AE186" s="43"/>
      <c r="AF186" s="43"/>
      <c r="AG186" s="43"/>
      <c r="AH186" s="43"/>
      <c r="AI186" s="43"/>
      <c r="AJ186" s="43"/>
      <c r="AK186" s="43"/>
      <c r="AL186" s="43"/>
      <c r="AM186" s="43"/>
      <c r="AN186" s="43"/>
      <c r="AO186" s="43"/>
      <c r="AP186" s="43"/>
      <c r="AQ186" s="43"/>
      <c r="AR186" s="53"/>
      <c r="AS186" s="52"/>
      <c r="AT186" s="43"/>
      <c r="AU186" s="43"/>
      <c r="AV186" s="43"/>
      <c r="AW186" s="43"/>
      <c r="AX186" s="43"/>
      <c r="AY186" s="43"/>
      <c r="AZ186" s="43"/>
      <c r="BA186" s="43"/>
      <c r="BB186" s="43"/>
      <c r="BC186" s="43"/>
      <c r="BD186" s="43"/>
      <c r="BE186" s="43"/>
      <c r="BF186" s="43"/>
      <c r="BG186" s="43"/>
      <c r="BH186" s="43"/>
      <c r="BI186" s="43"/>
      <c r="BJ186" s="43"/>
      <c r="BK186" s="43"/>
      <c r="BL186" s="43"/>
      <c r="BM186" s="43"/>
      <c r="BN186" s="43"/>
      <c r="BO186" s="43"/>
      <c r="BP186" s="43"/>
      <c r="BQ186" s="43"/>
      <c r="BR186" s="43"/>
      <c r="BS186" s="43"/>
      <c r="BT186" s="43"/>
      <c r="BU186" s="43"/>
      <c r="BV186" s="43"/>
      <c r="BW186" s="53"/>
      <c r="BX186" s="30">
        <f t="shared" si="35"/>
        <v>0</v>
      </c>
      <c r="BY186" s="52">
        <f t="shared" si="51"/>
        <v>0</v>
      </c>
      <c r="BZ186" s="43">
        <f t="shared" si="52"/>
        <v>19.04</v>
      </c>
      <c r="CA186" s="43"/>
      <c r="CB186" s="43"/>
      <c r="CC186" s="43"/>
      <c r="CD186" s="43"/>
      <c r="CE186" s="43"/>
      <c r="CF186" s="43"/>
      <c r="CG186" s="53"/>
      <c r="CH186" s="52"/>
      <c r="CI186" s="43"/>
      <c r="CJ186" s="43"/>
      <c r="CK186" s="43"/>
      <c r="CL186" s="43"/>
      <c r="CM186" s="43"/>
      <c r="CN186" s="43"/>
      <c r="CO186" s="43"/>
      <c r="CP186" s="43"/>
      <c r="CQ186" s="43"/>
      <c r="CR186" s="43"/>
      <c r="CS186" s="43"/>
      <c r="CT186" s="43"/>
      <c r="CU186" s="43"/>
      <c r="CV186" s="43"/>
      <c r="CW186" s="43"/>
      <c r="CX186" s="43"/>
      <c r="CY186" s="43"/>
      <c r="CZ186" s="7"/>
      <c r="DA186" s="7"/>
      <c r="DB186" s="43"/>
      <c r="DC186" s="43"/>
      <c r="DD186" s="53"/>
      <c r="DE186" s="73">
        <f t="shared" si="37"/>
        <v>0</v>
      </c>
      <c r="DG186" s="52"/>
      <c r="DH186" s="43"/>
      <c r="DI186" s="50">
        <f t="shared" si="38"/>
        <v>6628.0433333333322</v>
      </c>
      <c r="DK186" s="52"/>
      <c r="DL186" s="43"/>
      <c r="DM186" s="50">
        <f t="shared" si="39"/>
        <v>4432.51</v>
      </c>
      <c r="DO186" s="52"/>
      <c r="DP186" s="43"/>
      <c r="DQ186" s="53">
        <f t="shared" si="40"/>
        <v>7995.9800000000032</v>
      </c>
      <c r="DT186" s="52"/>
      <c r="DU186" s="43"/>
      <c r="DV186" s="50">
        <f t="shared" si="41"/>
        <v>518.17000000000007</v>
      </c>
      <c r="DX186" s="52"/>
      <c r="DY186" s="43"/>
      <c r="DZ186" s="53">
        <f t="shared" si="42"/>
        <v>617.75</v>
      </c>
      <c r="EB186" s="52"/>
      <c r="EC186" s="43"/>
      <c r="ED186" s="53">
        <f t="shared" si="43"/>
        <v>500</v>
      </c>
      <c r="EF186" s="52"/>
      <c r="EG186" s="43"/>
      <c r="EH186" s="53">
        <f t="shared" si="44"/>
        <v>1048.04</v>
      </c>
      <c r="EJ186" s="65"/>
      <c r="EK186" s="7"/>
      <c r="EL186" s="53">
        <f t="shared" si="45"/>
        <v>25.299999999999997</v>
      </c>
      <c r="EN186" s="51">
        <f t="shared" si="46"/>
        <v>-5707.2433333333174</v>
      </c>
      <c r="EP186" s="60">
        <f t="shared" si="47"/>
        <v>0</v>
      </c>
      <c r="EQ186" s="61">
        <f t="shared" si="48"/>
        <v>0</v>
      </c>
      <c r="ER186" s="15">
        <f t="shared" si="49"/>
        <v>0</v>
      </c>
      <c r="ES186" s="62">
        <f t="shared" ref="ES186:ES217" si="53">+X186+Y186+Z186+AA186-BZ186-CA186-CB186-CC186</f>
        <v>0</v>
      </c>
      <c r="EU186" s="6">
        <v>178</v>
      </c>
    </row>
    <row r="187" spans="1:151" x14ac:dyDescent="0.45">
      <c r="A187" s="9">
        <v>45609</v>
      </c>
      <c r="B187" t="s">
        <v>883</v>
      </c>
      <c r="C187" s="4" t="s">
        <v>633</v>
      </c>
      <c r="D187" s="7"/>
      <c r="E187" s="15">
        <v>9.52</v>
      </c>
      <c r="F187" s="43"/>
      <c r="G187" s="16">
        <f t="shared" si="36"/>
        <v>16068.07000000002</v>
      </c>
      <c r="H187" s="64" t="s">
        <v>625</v>
      </c>
      <c r="I187" s="52"/>
      <c r="J187" s="43"/>
      <c r="K187" s="43"/>
      <c r="L187" s="43"/>
      <c r="M187" s="43"/>
      <c r="N187" s="43"/>
      <c r="O187" s="43"/>
      <c r="P187" s="43"/>
      <c r="Q187" s="43"/>
      <c r="R187" s="43"/>
      <c r="S187" s="43"/>
      <c r="T187" s="43"/>
      <c r="U187" s="43"/>
      <c r="V187" s="43"/>
      <c r="W187" s="43"/>
      <c r="X187" s="43"/>
      <c r="Y187" s="43"/>
      <c r="Z187" s="43">
        <v>9.52</v>
      </c>
      <c r="AA187" s="43"/>
      <c r="AB187" s="43"/>
      <c r="AC187" s="43"/>
      <c r="AD187" s="43"/>
      <c r="AE187" s="43"/>
      <c r="AF187" s="43"/>
      <c r="AG187" s="43"/>
      <c r="AH187" s="43"/>
      <c r="AI187" s="43"/>
      <c r="AJ187" s="43"/>
      <c r="AK187" s="43"/>
      <c r="AL187" s="43"/>
      <c r="AM187" s="43"/>
      <c r="AN187" s="43"/>
      <c r="AO187" s="43"/>
      <c r="AP187" s="43"/>
      <c r="AQ187" s="43"/>
      <c r="AR187" s="53"/>
      <c r="AS187" s="52"/>
      <c r="AT187" s="43"/>
      <c r="AU187" s="43"/>
      <c r="AV187" s="43"/>
      <c r="AW187" s="43"/>
      <c r="AX187" s="43"/>
      <c r="AY187" s="43"/>
      <c r="AZ187" s="43"/>
      <c r="BA187" s="43"/>
      <c r="BB187" s="43"/>
      <c r="BC187" s="43"/>
      <c r="BD187" s="43"/>
      <c r="BE187" s="43"/>
      <c r="BF187" s="43"/>
      <c r="BG187" s="43"/>
      <c r="BH187" s="43"/>
      <c r="BI187" s="43"/>
      <c r="BJ187" s="43"/>
      <c r="BK187" s="43"/>
      <c r="BL187" s="43"/>
      <c r="BM187" s="43"/>
      <c r="BN187" s="43"/>
      <c r="BO187" s="43"/>
      <c r="BP187" s="43"/>
      <c r="BQ187" s="43"/>
      <c r="BR187" s="43"/>
      <c r="BS187" s="43"/>
      <c r="BT187" s="43"/>
      <c r="BU187" s="43"/>
      <c r="BV187" s="43"/>
      <c r="BW187" s="53"/>
      <c r="BX187" s="30">
        <f t="shared" si="35"/>
        <v>0</v>
      </c>
      <c r="BY187" s="52">
        <f t="shared" si="51"/>
        <v>0</v>
      </c>
      <c r="BZ187" s="43">
        <f t="shared" si="52"/>
        <v>9.52</v>
      </c>
      <c r="CA187" s="43"/>
      <c r="CB187" s="43"/>
      <c r="CC187" s="43"/>
      <c r="CD187" s="43"/>
      <c r="CE187" s="43"/>
      <c r="CF187" s="43"/>
      <c r="CG187" s="53"/>
      <c r="CH187" s="52"/>
      <c r="CI187" s="43"/>
      <c r="CJ187" s="43"/>
      <c r="CK187" s="43"/>
      <c r="CL187" s="43"/>
      <c r="CM187" s="43"/>
      <c r="CN187" s="43"/>
      <c r="CO187" s="43"/>
      <c r="CP187" s="43"/>
      <c r="CQ187" s="43"/>
      <c r="CR187" s="43"/>
      <c r="CS187" s="43"/>
      <c r="CT187" s="43"/>
      <c r="CU187" s="43"/>
      <c r="CV187" s="43"/>
      <c r="CW187" s="43"/>
      <c r="CX187" s="43"/>
      <c r="CY187" s="43"/>
      <c r="CZ187" s="7"/>
      <c r="DA187" s="7"/>
      <c r="DB187" s="43"/>
      <c r="DC187" s="43"/>
      <c r="DD187" s="53"/>
      <c r="DE187" s="73">
        <f t="shared" si="37"/>
        <v>0</v>
      </c>
      <c r="DG187" s="52"/>
      <c r="DH187" s="43"/>
      <c r="DI187" s="50">
        <f t="shared" si="38"/>
        <v>6628.0433333333322</v>
      </c>
      <c r="DK187" s="52"/>
      <c r="DL187" s="43"/>
      <c r="DM187" s="50">
        <f t="shared" si="39"/>
        <v>4432.51</v>
      </c>
      <c r="DO187" s="52"/>
      <c r="DP187" s="43"/>
      <c r="DQ187" s="50">
        <f t="shared" si="40"/>
        <v>7995.9800000000032</v>
      </c>
      <c r="DT187" s="52"/>
      <c r="DU187" s="43"/>
      <c r="DV187" s="50">
        <f t="shared" si="41"/>
        <v>518.17000000000007</v>
      </c>
      <c r="DX187" s="52"/>
      <c r="DY187" s="43"/>
      <c r="DZ187" s="53">
        <f t="shared" si="42"/>
        <v>617.75</v>
      </c>
      <c r="EB187" s="52"/>
      <c r="EC187" s="43"/>
      <c r="ED187" s="53">
        <f t="shared" si="43"/>
        <v>500</v>
      </c>
      <c r="EF187" s="52"/>
      <c r="EG187" s="43"/>
      <c r="EH187" s="53">
        <f t="shared" si="44"/>
        <v>1048.04</v>
      </c>
      <c r="EJ187" s="65"/>
      <c r="EK187" s="7"/>
      <c r="EL187" s="53">
        <f t="shared" si="45"/>
        <v>25.299999999999997</v>
      </c>
      <c r="EN187" s="51">
        <f t="shared" si="46"/>
        <v>-5697.723333333317</v>
      </c>
      <c r="EP187" s="60">
        <f t="shared" si="47"/>
        <v>0</v>
      </c>
      <c r="EQ187" s="61">
        <f t="shared" si="48"/>
        <v>0</v>
      </c>
      <c r="ER187" s="15">
        <f t="shared" si="49"/>
        <v>0</v>
      </c>
      <c r="ES187" s="163">
        <f t="shared" si="53"/>
        <v>0</v>
      </c>
      <c r="EU187">
        <v>179</v>
      </c>
    </row>
    <row r="188" spans="1:151" x14ac:dyDescent="0.45">
      <c r="A188" s="9">
        <v>45610</v>
      </c>
      <c r="B188" t="s">
        <v>884</v>
      </c>
      <c r="C188" s="4" t="s">
        <v>633</v>
      </c>
      <c r="D188" s="7"/>
      <c r="E188" s="15">
        <v>200</v>
      </c>
      <c r="F188" s="43"/>
      <c r="G188" s="16">
        <f t="shared" si="36"/>
        <v>16268.07000000002</v>
      </c>
      <c r="H188" s="64" t="s">
        <v>625</v>
      </c>
      <c r="I188" s="52"/>
      <c r="J188" s="43"/>
      <c r="K188" s="43"/>
      <c r="L188" s="43"/>
      <c r="M188" s="43"/>
      <c r="N188" s="43"/>
      <c r="O188" s="43"/>
      <c r="P188" s="43"/>
      <c r="Q188" s="43"/>
      <c r="R188" s="43"/>
      <c r="S188" s="43"/>
      <c r="T188" s="43"/>
      <c r="U188" s="43"/>
      <c r="V188" s="43">
        <v>200</v>
      </c>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53"/>
      <c r="AS188" s="52"/>
      <c r="AT188" s="43"/>
      <c r="AU188" s="43"/>
      <c r="AV188" s="43"/>
      <c r="AW188" s="43"/>
      <c r="AX188" s="43"/>
      <c r="AY188" s="43"/>
      <c r="AZ188" s="43"/>
      <c r="BA188" s="43"/>
      <c r="BB188" s="43"/>
      <c r="BC188" s="43"/>
      <c r="BD188" s="43"/>
      <c r="BE188" s="43"/>
      <c r="BF188" s="43"/>
      <c r="BG188" s="43"/>
      <c r="BH188" s="43"/>
      <c r="BI188" s="43"/>
      <c r="BJ188" s="43"/>
      <c r="BK188" s="43"/>
      <c r="BL188" s="43"/>
      <c r="BM188" s="43"/>
      <c r="BN188" s="43"/>
      <c r="BO188" s="43"/>
      <c r="BP188" s="43"/>
      <c r="BQ188" s="43"/>
      <c r="BR188" s="43"/>
      <c r="BS188" s="43"/>
      <c r="BT188" s="43"/>
      <c r="BU188" s="43"/>
      <c r="BV188" s="43"/>
      <c r="BW188" s="53"/>
      <c r="BX188" s="30">
        <f t="shared" si="35"/>
        <v>0</v>
      </c>
      <c r="BY188" s="52">
        <f t="shared" si="51"/>
        <v>0</v>
      </c>
      <c r="BZ188" s="43">
        <f t="shared" si="52"/>
        <v>200</v>
      </c>
      <c r="CA188" s="43"/>
      <c r="CB188" s="43"/>
      <c r="CC188" s="43"/>
      <c r="CD188" s="43"/>
      <c r="CE188" s="43"/>
      <c r="CF188" s="43"/>
      <c r="CG188" s="53"/>
      <c r="CH188" s="52"/>
      <c r="CI188" s="43"/>
      <c r="CJ188" s="43"/>
      <c r="CK188" s="43"/>
      <c r="CL188" s="43"/>
      <c r="CM188" s="43"/>
      <c r="CN188" s="43"/>
      <c r="CO188" s="43"/>
      <c r="CP188" s="43"/>
      <c r="CQ188" s="43"/>
      <c r="CR188" s="43"/>
      <c r="CS188" s="43"/>
      <c r="CT188" s="43"/>
      <c r="CU188" s="43"/>
      <c r="CV188" s="43"/>
      <c r="CW188" s="43"/>
      <c r="CX188" s="43"/>
      <c r="CY188" s="43"/>
      <c r="CZ188" s="7"/>
      <c r="DA188" s="7"/>
      <c r="DB188" s="43"/>
      <c r="DC188" s="43"/>
      <c r="DD188" s="53"/>
      <c r="DE188" s="73">
        <f t="shared" si="37"/>
        <v>0</v>
      </c>
      <c r="DG188" s="52"/>
      <c r="DH188" s="43"/>
      <c r="DI188" s="50">
        <f t="shared" si="38"/>
        <v>6628.0433333333322</v>
      </c>
      <c r="DK188" s="52"/>
      <c r="DL188" s="43"/>
      <c r="DM188" s="50">
        <f t="shared" si="39"/>
        <v>4432.51</v>
      </c>
      <c r="DO188" s="52"/>
      <c r="DP188" s="43"/>
      <c r="DQ188" s="50">
        <f t="shared" si="40"/>
        <v>7995.9800000000032</v>
      </c>
      <c r="DT188" s="52"/>
      <c r="DU188" s="43"/>
      <c r="DV188" s="50">
        <f t="shared" si="41"/>
        <v>518.17000000000007</v>
      </c>
      <c r="DX188" s="52"/>
      <c r="DY188" s="43"/>
      <c r="DZ188" s="53">
        <f t="shared" si="42"/>
        <v>617.75</v>
      </c>
      <c r="EB188" s="52"/>
      <c r="EC188" s="43"/>
      <c r="ED188" s="53">
        <f t="shared" si="43"/>
        <v>500</v>
      </c>
      <c r="EF188" s="52"/>
      <c r="EG188" s="43"/>
      <c r="EH188" s="53">
        <f t="shared" si="44"/>
        <v>1048.04</v>
      </c>
      <c r="EJ188" s="65"/>
      <c r="EK188" s="7"/>
      <c r="EL188" s="53">
        <f t="shared" si="45"/>
        <v>25.299999999999997</v>
      </c>
      <c r="EN188" s="51">
        <f t="shared" si="46"/>
        <v>-5497.723333333317</v>
      </c>
      <c r="EP188" s="60">
        <f t="shared" si="47"/>
        <v>0</v>
      </c>
      <c r="EQ188" s="61">
        <f t="shared" si="48"/>
        <v>0</v>
      </c>
      <c r="ER188" s="15">
        <f t="shared" si="49"/>
        <v>0</v>
      </c>
      <c r="ES188" s="62">
        <f t="shared" si="53"/>
        <v>-200</v>
      </c>
      <c r="EU188" s="6">
        <v>180</v>
      </c>
    </row>
    <row r="189" spans="1:151" x14ac:dyDescent="0.45">
      <c r="A189" s="9">
        <v>45610</v>
      </c>
      <c r="B189" t="s">
        <v>885</v>
      </c>
      <c r="C189" s="4" t="s">
        <v>633</v>
      </c>
      <c r="D189" s="7"/>
      <c r="E189">
        <v>45</v>
      </c>
      <c r="F189" s="43"/>
      <c r="G189" s="16">
        <f t="shared" si="36"/>
        <v>16313.07000000002</v>
      </c>
      <c r="H189" s="64" t="s">
        <v>625</v>
      </c>
      <c r="I189" s="52"/>
      <c r="J189" s="43"/>
      <c r="K189" s="43"/>
      <c r="L189" s="43"/>
      <c r="M189" s="43"/>
      <c r="N189" s="43"/>
      <c r="O189" s="43"/>
      <c r="P189" s="43"/>
      <c r="Q189" s="43"/>
      <c r="R189" s="43"/>
      <c r="S189" s="43"/>
      <c r="T189" s="43"/>
      <c r="U189" s="43"/>
      <c r="V189" s="43"/>
      <c r="W189" s="43"/>
      <c r="X189" s="43"/>
      <c r="Y189" s="43"/>
      <c r="Z189" s="43">
        <v>45</v>
      </c>
      <c r="AA189" s="43"/>
      <c r="AB189" s="43"/>
      <c r="AC189" s="43"/>
      <c r="AD189" s="43"/>
      <c r="AE189" s="43"/>
      <c r="AF189" s="43"/>
      <c r="AG189" s="43"/>
      <c r="AH189" s="43"/>
      <c r="AI189" s="43"/>
      <c r="AJ189" s="43"/>
      <c r="AK189" s="43"/>
      <c r="AL189" s="43"/>
      <c r="AM189" s="43"/>
      <c r="AN189" s="43"/>
      <c r="AO189" s="43"/>
      <c r="AP189" s="43"/>
      <c r="AQ189" s="43"/>
      <c r="AR189" s="53"/>
      <c r="AS189" s="52"/>
      <c r="AT189" s="43"/>
      <c r="AU189" s="43"/>
      <c r="AV189" s="43"/>
      <c r="AW189" s="43"/>
      <c r="AX189" s="43"/>
      <c r="AY189" s="43"/>
      <c r="AZ189" s="43"/>
      <c r="BA189" s="43"/>
      <c r="BB189" s="43"/>
      <c r="BC189" s="43"/>
      <c r="BD189" s="43"/>
      <c r="BE189" s="43"/>
      <c r="BF189" s="43"/>
      <c r="BG189" s="43"/>
      <c r="BH189" s="43"/>
      <c r="BI189" s="43"/>
      <c r="BJ189" s="43"/>
      <c r="BK189" s="43"/>
      <c r="BL189" s="43"/>
      <c r="BM189" s="43"/>
      <c r="BN189" s="43"/>
      <c r="BO189" s="43"/>
      <c r="BP189" s="43"/>
      <c r="BQ189" s="43"/>
      <c r="BR189" s="43"/>
      <c r="BS189" s="43"/>
      <c r="BT189" s="43"/>
      <c r="BU189" s="43"/>
      <c r="BV189" s="43"/>
      <c r="BW189" s="53"/>
      <c r="BX189" s="30">
        <f t="shared" si="35"/>
        <v>0</v>
      </c>
      <c r="BY189" s="52">
        <f t="shared" si="51"/>
        <v>0</v>
      </c>
      <c r="BZ189" s="43">
        <f t="shared" si="52"/>
        <v>45</v>
      </c>
      <c r="CA189" s="43"/>
      <c r="CB189" s="43"/>
      <c r="CC189" s="43"/>
      <c r="CD189" s="43"/>
      <c r="CE189" s="43"/>
      <c r="CF189" s="43"/>
      <c r="CG189" s="53"/>
      <c r="CH189" s="52"/>
      <c r="CI189" s="43"/>
      <c r="CJ189" s="43"/>
      <c r="CK189" s="43"/>
      <c r="CL189" s="43"/>
      <c r="CM189" s="43"/>
      <c r="CN189" s="43"/>
      <c r="CO189" s="43"/>
      <c r="CP189" s="43"/>
      <c r="CQ189" s="43"/>
      <c r="CR189" s="43"/>
      <c r="CS189" s="43"/>
      <c r="CT189" s="43"/>
      <c r="CU189" s="43"/>
      <c r="CV189" s="43"/>
      <c r="CW189" s="43"/>
      <c r="CX189" s="43"/>
      <c r="CY189" s="43"/>
      <c r="CZ189" s="7"/>
      <c r="DA189" s="7"/>
      <c r="DB189" s="43"/>
      <c r="DC189" s="43"/>
      <c r="DD189" s="53"/>
      <c r="DE189" s="73">
        <f t="shared" si="37"/>
        <v>0</v>
      </c>
      <c r="DG189" s="52"/>
      <c r="DH189" s="43"/>
      <c r="DI189" s="50">
        <f t="shared" si="38"/>
        <v>6628.0433333333322</v>
      </c>
      <c r="DK189" s="52"/>
      <c r="DL189" s="43"/>
      <c r="DM189" s="50">
        <f t="shared" si="39"/>
        <v>4432.51</v>
      </c>
      <c r="DO189" s="52"/>
      <c r="DP189" s="43"/>
      <c r="DQ189" s="50">
        <f t="shared" si="40"/>
        <v>7995.9800000000032</v>
      </c>
      <c r="DT189" s="52"/>
      <c r="DU189" s="43"/>
      <c r="DV189" s="50">
        <f t="shared" si="41"/>
        <v>518.17000000000007</v>
      </c>
      <c r="DX189" s="52"/>
      <c r="DY189" s="43"/>
      <c r="DZ189" s="53">
        <f t="shared" si="42"/>
        <v>617.75</v>
      </c>
      <c r="EB189" s="52"/>
      <c r="EC189" s="43"/>
      <c r="ED189" s="53">
        <f t="shared" si="43"/>
        <v>500</v>
      </c>
      <c r="EF189" s="52"/>
      <c r="EG189" s="43"/>
      <c r="EH189" s="53">
        <f t="shared" si="44"/>
        <v>1048.04</v>
      </c>
      <c r="EJ189" s="65"/>
      <c r="EK189" s="7"/>
      <c r="EL189" s="53">
        <f t="shared" si="45"/>
        <v>25.299999999999997</v>
      </c>
      <c r="EN189" s="51">
        <f t="shared" si="46"/>
        <v>-5452.723333333317</v>
      </c>
      <c r="EP189" s="60">
        <f t="shared" si="47"/>
        <v>0</v>
      </c>
      <c r="EQ189" s="61">
        <f t="shared" si="48"/>
        <v>0</v>
      </c>
      <c r="ER189" s="15">
        <f t="shared" si="49"/>
        <v>0</v>
      </c>
      <c r="ES189" s="163">
        <f t="shared" si="53"/>
        <v>0</v>
      </c>
      <c r="EU189">
        <v>181</v>
      </c>
    </row>
    <row r="190" spans="1:151" x14ac:dyDescent="0.45">
      <c r="A190" s="9">
        <v>45610</v>
      </c>
      <c r="B190" t="s">
        <v>886</v>
      </c>
      <c r="C190" s="4" t="s">
        <v>633</v>
      </c>
      <c r="D190" s="7"/>
      <c r="E190">
        <v>19.04</v>
      </c>
      <c r="F190" s="43"/>
      <c r="G190" s="16">
        <f t="shared" si="36"/>
        <v>16332.110000000021</v>
      </c>
      <c r="H190" s="64" t="s">
        <v>625</v>
      </c>
      <c r="I190" s="52"/>
      <c r="J190" s="43"/>
      <c r="K190" s="43"/>
      <c r="L190" s="43"/>
      <c r="M190" s="43"/>
      <c r="N190" s="43"/>
      <c r="O190" s="43"/>
      <c r="P190" s="43"/>
      <c r="Q190" s="43"/>
      <c r="R190" s="43"/>
      <c r="S190" s="43"/>
      <c r="T190" s="43"/>
      <c r="U190" s="43"/>
      <c r="V190" s="43"/>
      <c r="W190" s="43"/>
      <c r="X190" s="43"/>
      <c r="Y190" s="43"/>
      <c r="Z190" s="43">
        <v>19.04</v>
      </c>
      <c r="AA190" s="43"/>
      <c r="AB190" s="43"/>
      <c r="AC190" s="43"/>
      <c r="AD190" s="43"/>
      <c r="AE190" s="43"/>
      <c r="AF190" s="43"/>
      <c r="AG190" s="43"/>
      <c r="AH190" s="43"/>
      <c r="AI190" s="43"/>
      <c r="AJ190" s="43"/>
      <c r="AK190" s="43"/>
      <c r="AL190" s="43"/>
      <c r="AM190" s="43"/>
      <c r="AN190" s="43"/>
      <c r="AO190" s="43"/>
      <c r="AP190" s="43"/>
      <c r="AQ190" s="43"/>
      <c r="AR190" s="53"/>
      <c r="AS190" s="52"/>
      <c r="AT190" s="43"/>
      <c r="AU190" s="43"/>
      <c r="AV190" s="43"/>
      <c r="AW190" s="43"/>
      <c r="AX190" s="43"/>
      <c r="AY190" s="43"/>
      <c r="AZ190" s="43"/>
      <c r="BA190" s="43"/>
      <c r="BB190" s="43"/>
      <c r="BC190" s="43"/>
      <c r="BD190" s="43"/>
      <c r="BE190" s="43"/>
      <c r="BF190" s="43"/>
      <c r="BG190" s="43"/>
      <c r="BH190" s="43"/>
      <c r="BI190" s="43"/>
      <c r="BJ190" s="43"/>
      <c r="BK190" s="43"/>
      <c r="BL190" s="43"/>
      <c r="BM190" s="43"/>
      <c r="BN190" s="43"/>
      <c r="BO190" s="43"/>
      <c r="BP190" s="43"/>
      <c r="BQ190" s="43"/>
      <c r="BR190" s="43"/>
      <c r="BS190" s="43"/>
      <c r="BT190" s="43"/>
      <c r="BU190" s="43"/>
      <c r="BV190" s="43"/>
      <c r="BW190" s="53"/>
      <c r="BX190" s="30">
        <f t="shared" si="35"/>
        <v>0</v>
      </c>
      <c r="BY190" s="52">
        <f t="shared" si="51"/>
        <v>0</v>
      </c>
      <c r="BZ190" s="43">
        <f t="shared" si="52"/>
        <v>19.04</v>
      </c>
      <c r="CA190" s="43"/>
      <c r="CB190" s="43"/>
      <c r="CC190" s="43"/>
      <c r="CD190" s="43"/>
      <c r="CE190" s="43"/>
      <c r="CF190" s="43"/>
      <c r="CG190" s="53"/>
      <c r="CH190" s="52"/>
      <c r="CI190" s="43"/>
      <c r="CJ190" s="43"/>
      <c r="CK190" s="43"/>
      <c r="CL190" s="43"/>
      <c r="CM190" s="43"/>
      <c r="CN190" s="43"/>
      <c r="CO190" s="43"/>
      <c r="CP190" s="43"/>
      <c r="CQ190" s="43"/>
      <c r="CR190" s="43"/>
      <c r="CS190" s="43"/>
      <c r="CT190" s="43"/>
      <c r="CU190" s="43"/>
      <c r="CV190" s="43"/>
      <c r="CW190" s="43"/>
      <c r="CX190" s="43"/>
      <c r="CY190" s="43"/>
      <c r="CZ190" s="7"/>
      <c r="DA190" s="7"/>
      <c r="DB190" s="43"/>
      <c r="DC190" s="43"/>
      <c r="DD190" s="53"/>
      <c r="DE190" s="73">
        <f t="shared" si="37"/>
        <v>0</v>
      </c>
      <c r="DG190" s="52"/>
      <c r="DH190" s="43"/>
      <c r="DI190" s="50">
        <f t="shared" si="38"/>
        <v>6628.0433333333322</v>
      </c>
      <c r="DK190" s="52"/>
      <c r="DL190" s="43"/>
      <c r="DM190" s="50">
        <f t="shared" si="39"/>
        <v>4432.51</v>
      </c>
      <c r="DO190" s="52"/>
      <c r="DP190" s="43"/>
      <c r="DQ190" s="50">
        <f t="shared" si="40"/>
        <v>7995.9800000000032</v>
      </c>
      <c r="DT190" s="52"/>
      <c r="DU190" s="43"/>
      <c r="DV190" s="50">
        <f t="shared" si="41"/>
        <v>518.17000000000007</v>
      </c>
      <c r="DX190" s="52"/>
      <c r="DY190" s="43"/>
      <c r="DZ190" s="53">
        <f t="shared" si="42"/>
        <v>617.75</v>
      </c>
      <c r="EB190" s="52"/>
      <c r="EC190" s="43"/>
      <c r="ED190" s="53">
        <f t="shared" si="43"/>
        <v>500</v>
      </c>
      <c r="EF190" s="52"/>
      <c r="EG190" s="43"/>
      <c r="EH190" s="53">
        <f t="shared" si="44"/>
        <v>1048.04</v>
      </c>
      <c r="EJ190" s="65"/>
      <c r="EK190" s="7"/>
      <c r="EL190" s="53">
        <f t="shared" si="45"/>
        <v>25.299999999999997</v>
      </c>
      <c r="EN190" s="51">
        <f t="shared" si="46"/>
        <v>-5433.6833333333161</v>
      </c>
      <c r="EP190" s="60">
        <f t="shared" si="47"/>
        <v>0</v>
      </c>
      <c r="EQ190" s="61">
        <f t="shared" si="48"/>
        <v>0</v>
      </c>
      <c r="ER190" s="15">
        <f t="shared" si="49"/>
        <v>0</v>
      </c>
      <c r="ES190" s="62">
        <f t="shared" si="53"/>
        <v>0</v>
      </c>
      <c r="EU190" s="6">
        <v>182</v>
      </c>
    </row>
    <row r="191" spans="1:151" x14ac:dyDescent="0.45">
      <c r="A191" s="9">
        <v>45611</v>
      </c>
      <c r="B191" t="s">
        <v>887</v>
      </c>
      <c r="C191" s="4" t="s">
        <v>633</v>
      </c>
      <c r="D191" s="7"/>
      <c r="E191">
        <v>19.04</v>
      </c>
      <c r="F191" s="43"/>
      <c r="G191" s="16">
        <f t="shared" si="36"/>
        <v>16351.150000000021</v>
      </c>
      <c r="H191" s="64" t="s">
        <v>625</v>
      </c>
      <c r="I191" s="52"/>
      <c r="J191" s="43"/>
      <c r="K191" s="43"/>
      <c r="L191" s="43"/>
      <c r="M191" s="43"/>
      <c r="N191" s="43"/>
      <c r="O191" s="43"/>
      <c r="P191" s="43"/>
      <c r="Q191" s="43"/>
      <c r="R191" s="43"/>
      <c r="S191" s="43"/>
      <c r="T191" s="43"/>
      <c r="U191" s="43"/>
      <c r="V191" s="43"/>
      <c r="W191" s="43"/>
      <c r="X191" s="43"/>
      <c r="Y191" s="43"/>
      <c r="Z191" s="43">
        <v>19.04</v>
      </c>
      <c r="AA191" s="43"/>
      <c r="AB191" s="43"/>
      <c r="AC191" s="43"/>
      <c r="AD191" s="43"/>
      <c r="AE191" s="43"/>
      <c r="AF191" s="43"/>
      <c r="AG191" s="43"/>
      <c r="AH191" s="43"/>
      <c r="AI191" s="43"/>
      <c r="AJ191" s="43"/>
      <c r="AK191" s="43"/>
      <c r="AL191" s="43"/>
      <c r="AM191" s="43"/>
      <c r="AN191" s="43"/>
      <c r="AO191" s="43"/>
      <c r="AP191" s="43"/>
      <c r="AQ191" s="43"/>
      <c r="AR191" s="53"/>
      <c r="AS191" s="52"/>
      <c r="AT191" s="43"/>
      <c r="AU191" s="43"/>
      <c r="AV191" s="43"/>
      <c r="AW191" s="43"/>
      <c r="AX191" s="43"/>
      <c r="AY191" s="43"/>
      <c r="AZ191" s="43"/>
      <c r="BA191" s="43"/>
      <c r="BB191" s="43"/>
      <c r="BC191" s="43"/>
      <c r="BD191" s="43"/>
      <c r="BE191" s="43"/>
      <c r="BF191" s="43"/>
      <c r="BG191" s="43"/>
      <c r="BH191" s="43"/>
      <c r="BI191" s="43"/>
      <c r="BJ191" s="43"/>
      <c r="BK191" s="43"/>
      <c r="BL191" s="43"/>
      <c r="BM191" s="43"/>
      <c r="BN191" s="43"/>
      <c r="BO191" s="43"/>
      <c r="BP191" s="43"/>
      <c r="BQ191" s="43"/>
      <c r="BR191" s="43"/>
      <c r="BS191" s="43"/>
      <c r="BT191" s="43"/>
      <c r="BU191" s="43"/>
      <c r="BV191" s="43"/>
      <c r="BW191" s="53"/>
      <c r="BX191" s="30">
        <f t="shared" si="35"/>
        <v>0</v>
      </c>
      <c r="BY191" s="52">
        <f t="shared" si="51"/>
        <v>0</v>
      </c>
      <c r="BZ191" s="43">
        <f t="shared" si="52"/>
        <v>19.04</v>
      </c>
      <c r="CA191" s="43"/>
      <c r="CB191" s="43"/>
      <c r="CC191" s="43"/>
      <c r="CD191" s="43"/>
      <c r="CE191" s="43"/>
      <c r="CF191" s="43"/>
      <c r="CG191" s="53"/>
      <c r="CH191" s="52"/>
      <c r="CI191" s="43"/>
      <c r="CJ191" s="43"/>
      <c r="CK191" s="43"/>
      <c r="CL191" s="43"/>
      <c r="CM191" s="43"/>
      <c r="CN191" s="43"/>
      <c r="CO191" s="43"/>
      <c r="CP191" s="43"/>
      <c r="CQ191" s="43"/>
      <c r="CR191" s="43"/>
      <c r="CS191" s="43"/>
      <c r="CT191" s="43"/>
      <c r="CU191" s="43"/>
      <c r="CV191" s="43"/>
      <c r="CW191" s="43"/>
      <c r="CX191" s="43"/>
      <c r="CY191" s="43"/>
      <c r="CZ191" s="7"/>
      <c r="DA191" s="7"/>
      <c r="DB191" s="43"/>
      <c r="DC191" s="43"/>
      <c r="DD191" s="53"/>
      <c r="DE191" s="73">
        <f t="shared" si="37"/>
        <v>0</v>
      </c>
      <c r="DG191" s="52"/>
      <c r="DH191" s="43"/>
      <c r="DI191" s="50">
        <f t="shared" si="38"/>
        <v>6628.0433333333322</v>
      </c>
      <c r="DK191" s="52"/>
      <c r="DL191" s="43"/>
      <c r="DM191" s="50">
        <f t="shared" si="39"/>
        <v>4432.51</v>
      </c>
      <c r="DO191" s="52"/>
      <c r="DP191" s="43"/>
      <c r="DQ191" s="50">
        <f t="shared" si="40"/>
        <v>7995.9800000000032</v>
      </c>
      <c r="DT191" s="52"/>
      <c r="DU191" s="43"/>
      <c r="DV191" s="50">
        <f t="shared" si="41"/>
        <v>518.17000000000007</v>
      </c>
      <c r="DX191" s="52"/>
      <c r="DY191" s="43"/>
      <c r="DZ191" s="53">
        <f t="shared" si="42"/>
        <v>617.75</v>
      </c>
      <c r="EB191" s="52"/>
      <c r="EC191" s="43"/>
      <c r="ED191" s="53">
        <f t="shared" si="43"/>
        <v>500</v>
      </c>
      <c r="EF191" s="52"/>
      <c r="EG191" s="43"/>
      <c r="EH191" s="53">
        <f t="shared" si="44"/>
        <v>1048.04</v>
      </c>
      <c r="EJ191" s="65"/>
      <c r="EK191" s="7"/>
      <c r="EL191" s="53">
        <f t="shared" si="45"/>
        <v>25.299999999999997</v>
      </c>
      <c r="EN191" s="51">
        <f t="shared" si="46"/>
        <v>-5414.6433333333152</v>
      </c>
      <c r="EP191" s="60">
        <f t="shared" si="47"/>
        <v>0</v>
      </c>
      <c r="EQ191" s="61">
        <f t="shared" si="48"/>
        <v>0</v>
      </c>
      <c r="ER191" s="15">
        <f t="shared" si="49"/>
        <v>0</v>
      </c>
      <c r="ES191" s="163">
        <f t="shared" si="53"/>
        <v>0</v>
      </c>
      <c r="EU191">
        <v>183</v>
      </c>
    </row>
    <row r="192" spans="1:151" x14ac:dyDescent="0.45">
      <c r="A192" s="9">
        <v>45611</v>
      </c>
      <c r="B192" t="s">
        <v>888</v>
      </c>
      <c r="C192" s="4" t="s">
        <v>633</v>
      </c>
      <c r="D192" s="7"/>
      <c r="E192">
        <v>9.52</v>
      </c>
      <c r="F192" s="43"/>
      <c r="G192" s="16">
        <f t="shared" si="36"/>
        <v>16360.670000000022</v>
      </c>
      <c r="H192" s="64" t="s">
        <v>625</v>
      </c>
      <c r="I192" s="52"/>
      <c r="J192" s="43"/>
      <c r="K192" s="43"/>
      <c r="L192" s="43"/>
      <c r="M192" s="43"/>
      <c r="N192" s="43"/>
      <c r="O192" s="43"/>
      <c r="P192" s="43"/>
      <c r="Q192" s="43"/>
      <c r="R192" s="43"/>
      <c r="S192" s="43"/>
      <c r="T192" s="43"/>
      <c r="U192" s="43"/>
      <c r="V192" s="43"/>
      <c r="W192" s="43"/>
      <c r="X192" s="43"/>
      <c r="Y192" s="43">
        <v>9.52</v>
      </c>
      <c r="Z192" s="43"/>
      <c r="AA192" s="43"/>
      <c r="AB192" s="43"/>
      <c r="AC192" s="43"/>
      <c r="AD192" s="43"/>
      <c r="AE192" s="43"/>
      <c r="AF192" s="43"/>
      <c r="AG192" s="43"/>
      <c r="AH192" s="43"/>
      <c r="AI192" s="43"/>
      <c r="AJ192" s="43"/>
      <c r="AK192" s="43"/>
      <c r="AL192" s="43"/>
      <c r="AM192" s="43"/>
      <c r="AN192" s="43"/>
      <c r="AO192" s="43"/>
      <c r="AP192" s="43"/>
      <c r="AQ192" s="43"/>
      <c r="AR192" s="53"/>
      <c r="AS192" s="52"/>
      <c r="AT192" s="43"/>
      <c r="AU192" s="43"/>
      <c r="AV192" s="43"/>
      <c r="AW192" s="43"/>
      <c r="AX192" s="43"/>
      <c r="AY192" s="43"/>
      <c r="AZ192" s="43"/>
      <c r="BA192" s="43"/>
      <c r="BB192" s="43"/>
      <c r="BC192" s="43"/>
      <c r="BD192" s="43"/>
      <c r="BE192" s="43"/>
      <c r="BF192" s="43"/>
      <c r="BG192" s="43"/>
      <c r="BH192" s="43"/>
      <c r="BI192" s="43"/>
      <c r="BJ192" s="43"/>
      <c r="BK192" s="43"/>
      <c r="BL192" s="43"/>
      <c r="BM192" s="43"/>
      <c r="BN192" s="43"/>
      <c r="BO192" s="43"/>
      <c r="BP192" s="43"/>
      <c r="BQ192" s="43"/>
      <c r="BR192" s="43"/>
      <c r="BS192" s="43"/>
      <c r="BT192" s="43"/>
      <c r="BU192" s="43"/>
      <c r="BV192" s="43"/>
      <c r="BW192" s="53"/>
      <c r="BX192" s="30">
        <f t="shared" si="35"/>
        <v>0</v>
      </c>
      <c r="BY192" s="52">
        <f t="shared" si="51"/>
        <v>0</v>
      </c>
      <c r="BZ192" s="43">
        <f t="shared" si="52"/>
        <v>9.52</v>
      </c>
      <c r="CA192" s="43"/>
      <c r="CB192" s="43"/>
      <c r="CC192" s="43"/>
      <c r="CD192" s="43"/>
      <c r="CE192" s="43"/>
      <c r="CF192" s="43"/>
      <c r="CG192" s="53"/>
      <c r="CH192" s="52"/>
      <c r="CI192" s="43"/>
      <c r="CJ192" s="43"/>
      <c r="CK192" s="43"/>
      <c r="CL192" s="43"/>
      <c r="CM192" s="43"/>
      <c r="CN192" s="43"/>
      <c r="CO192" s="43"/>
      <c r="CP192" s="43"/>
      <c r="CQ192" s="43"/>
      <c r="CR192" s="43"/>
      <c r="CS192" s="43"/>
      <c r="CT192" s="43"/>
      <c r="CU192" s="43"/>
      <c r="CV192" s="43"/>
      <c r="CW192" s="43"/>
      <c r="CX192" s="43"/>
      <c r="CY192" s="43"/>
      <c r="CZ192" s="7"/>
      <c r="DA192" s="7"/>
      <c r="DB192" s="43"/>
      <c r="DC192" s="43"/>
      <c r="DD192" s="53"/>
      <c r="DE192" s="73">
        <f t="shared" si="37"/>
        <v>0</v>
      </c>
      <c r="DG192" s="52"/>
      <c r="DH192" s="43"/>
      <c r="DI192" s="50">
        <f t="shared" si="38"/>
        <v>6628.0433333333322</v>
      </c>
      <c r="DK192" s="52"/>
      <c r="DL192" s="43"/>
      <c r="DM192" s="50">
        <f t="shared" si="39"/>
        <v>4432.51</v>
      </c>
      <c r="DO192" s="52"/>
      <c r="DP192" s="43"/>
      <c r="DQ192" s="50">
        <f t="shared" si="40"/>
        <v>7995.9800000000032</v>
      </c>
      <c r="DT192" s="52"/>
      <c r="DU192" s="43"/>
      <c r="DV192" s="50">
        <f t="shared" si="41"/>
        <v>518.17000000000007</v>
      </c>
      <c r="DX192" s="52"/>
      <c r="DY192" s="43"/>
      <c r="DZ192" s="53">
        <f t="shared" si="42"/>
        <v>617.75</v>
      </c>
      <c r="EB192" s="52"/>
      <c r="EC192" s="43"/>
      <c r="ED192" s="53">
        <f t="shared" si="43"/>
        <v>500</v>
      </c>
      <c r="EF192" s="52"/>
      <c r="EG192" s="43"/>
      <c r="EH192" s="53">
        <f t="shared" si="44"/>
        <v>1048.04</v>
      </c>
      <c r="EJ192" s="65"/>
      <c r="EK192" s="7"/>
      <c r="EL192" s="53">
        <f t="shared" si="45"/>
        <v>25.299999999999997</v>
      </c>
      <c r="EN192" s="51">
        <f t="shared" si="46"/>
        <v>-5405.1233333333148</v>
      </c>
      <c r="EP192" s="60">
        <f t="shared" si="47"/>
        <v>0</v>
      </c>
      <c r="EQ192" s="61">
        <f t="shared" si="48"/>
        <v>0</v>
      </c>
      <c r="ER192" s="15">
        <f t="shared" si="49"/>
        <v>0</v>
      </c>
      <c r="ES192" s="62">
        <f t="shared" si="53"/>
        <v>0</v>
      </c>
      <c r="EU192" s="6">
        <v>184</v>
      </c>
    </row>
    <row r="193" spans="1:151" x14ac:dyDescent="0.45">
      <c r="A193" s="9">
        <v>45614</v>
      </c>
      <c r="B193" t="s">
        <v>889</v>
      </c>
      <c r="C193" s="4" t="s">
        <v>633</v>
      </c>
      <c r="D193" s="7"/>
      <c r="E193">
        <v>47.6</v>
      </c>
      <c r="F193" s="43"/>
      <c r="G193" s="16">
        <f t="shared" si="36"/>
        <v>16408.270000000022</v>
      </c>
      <c r="H193" s="64" t="s">
        <v>625</v>
      </c>
      <c r="I193" s="52"/>
      <c r="J193" s="43"/>
      <c r="K193" s="43"/>
      <c r="L193" s="43"/>
      <c r="M193" s="43"/>
      <c r="N193" s="43"/>
      <c r="O193" s="43"/>
      <c r="P193" s="43"/>
      <c r="Q193" s="43"/>
      <c r="R193" s="43"/>
      <c r="S193" s="43"/>
      <c r="T193" s="43"/>
      <c r="U193" s="43"/>
      <c r="V193" s="43"/>
      <c r="W193" s="43"/>
      <c r="X193" s="43"/>
      <c r="Y193" s="43">
        <v>47.6</v>
      </c>
      <c r="Z193" s="43"/>
      <c r="AA193" s="43"/>
      <c r="AB193" s="43"/>
      <c r="AC193" s="43"/>
      <c r="AD193" s="43"/>
      <c r="AE193" s="43"/>
      <c r="AF193" s="43"/>
      <c r="AG193" s="43"/>
      <c r="AH193" s="43"/>
      <c r="AI193" s="43"/>
      <c r="AJ193" s="43"/>
      <c r="AK193" s="43"/>
      <c r="AL193" s="43"/>
      <c r="AM193" s="43"/>
      <c r="AN193" s="43"/>
      <c r="AO193" s="43"/>
      <c r="AP193" s="43"/>
      <c r="AQ193" s="43"/>
      <c r="AR193" s="53"/>
      <c r="AS193" s="52"/>
      <c r="AT193" s="43"/>
      <c r="AU193" s="43"/>
      <c r="AV193" s="43"/>
      <c r="AW193" s="43"/>
      <c r="AX193" s="43"/>
      <c r="AY193" s="43"/>
      <c r="AZ193" s="43"/>
      <c r="BA193" s="43"/>
      <c r="BB193" s="43"/>
      <c r="BC193" s="43"/>
      <c r="BD193" s="43"/>
      <c r="BE193" s="43"/>
      <c r="BF193" s="43"/>
      <c r="BG193" s="43"/>
      <c r="BH193" s="43"/>
      <c r="BI193" s="43"/>
      <c r="BJ193" s="43"/>
      <c r="BK193" s="43"/>
      <c r="BL193" s="43"/>
      <c r="BM193" s="43"/>
      <c r="BN193" s="43"/>
      <c r="BO193" s="43"/>
      <c r="BP193" s="43"/>
      <c r="BQ193" s="43"/>
      <c r="BR193" s="43"/>
      <c r="BS193" s="43"/>
      <c r="BT193" s="43"/>
      <c r="BU193" s="43"/>
      <c r="BV193" s="43"/>
      <c r="BW193" s="53"/>
      <c r="BX193" s="30">
        <f t="shared" si="35"/>
        <v>0</v>
      </c>
      <c r="BY193" s="52">
        <f t="shared" si="51"/>
        <v>0</v>
      </c>
      <c r="BZ193" s="43">
        <f t="shared" si="52"/>
        <v>47.6</v>
      </c>
      <c r="CA193" s="43"/>
      <c r="CB193" s="43"/>
      <c r="CC193" s="43"/>
      <c r="CD193" s="43"/>
      <c r="CE193" s="43"/>
      <c r="CF193" s="43"/>
      <c r="CG193" s="53"/>
      <c r="CH193" s="52"/>
      <c r="CI193" s="43"/>
      <c r="CJ193" s="43"/>
      <c r="CK193" s="43"/>
      <c r="CL193" s="43"/>
      <c r="CM193" s="43"/>
      <c r="CN193" s="43"/>
      <c r="CO193" s="43"/>
      <c r="CP193" s="43"/>
      <c r="CQ193" s="43"/>
      <c r="CR193" s="43"/>
      <c r="CS193" s="43"/>
      <c r="CT193" s="43"/>
      <c r="CU193" s="43"/>
      <c r="CV193" s="43"/>
      <c r="CW193" s="43"/>
      <c r="CX193" s="43"/>
      <c r="CY193" s="43"/>
      <c r="CZ193" s="7"/>
      <c r="DA193" s="7"/>
      <c r="DB193" s="43"/>
      <c r="DC193" s="43"/>
      <c r="DD193" s="53"/>
      <c r="DE193" s="73">
        <f t="shared" si="37"/>
        <v>0</v>
      </c>
      <c r="DG193" s="52"/>
      <c r="DH193" s="43"/>
      <c r="DI193" s="50">
        <f t="shared" si="38"/>
        <v>6628.0433333333322</v>
      </c>
      <c r="DK193" s="52"/>
      <c r="DL193" s="43"/>
      <c r="DM193" s="50">
        <f t="shared" si="39"/>
        <v>4432.51</v>
      </c>
      <c r="DO193" s="52"/>
      <c r="DP193" s="43"/>
      <c r="DQ193" s="50">
        <f t="shared" si="40"/>
        <v>7995.9800000000032</v>
      </c>
      <c r="DT193" s="52"/>
      <c r="DU193" s="43"/>
      <c r="DV193" s="50">
        <f t="shared" si="41"/>
        <v>518.17000000000007</v>
      </c>
      <c r="DX193" s="52"/>
      <c r="DY193" s="43"/>
      <c r="DZ193" s="53">
        <f t="shared" si="42"/>
        <v>617.75</v>
      </c>
      <c r="EB193" s="52"/>
      <c r="EC193" s="43"/>
      <c r="ED193" s="53">
        <f t="shared" si="43"/>
        <v>500</v>
      </c>
      <c r="EF193" s="52"/>
      <c r="EG193" s="43"/>
      <c r="EH193" s="53">
        <f t="shared" si="44"/>
        <v>1048.04</v>
      </c>
      <c r="EJ193" s="65"/>
      <c r="EK193" s="7"/>
      <c r="EL193" s="53">
        <f t="shared" si="45"/>
        <v>25.299999999999997</v>
      </c>
      <c r="EN193" s="51">
        <f t="shared" si="46"/>
        <v>-5357.5233333333126</v>
      </c>
      <c r="EP193" s="60">
        <f t="shared" si="47"/>
        <v>0</v>
      </c>
      <c r="EQ193" s="61">
        <f t="shared" si="48"/>
        <v>0</v>
      </c>
      <c r="ER193" s="15">
        <f t="shared" si="49"/>
        <v>0</v>
      </c>
      <c r="ES193" s="163">
        <f t="shared" si="53"/>
        <v>0</v>
      </c>
      <c r="EU193">
        <v>185</v>
      </c>
    </row>
    <row r="194" spans="1:151" x14ac:dyDescent="0.45">
      <c r="A194" s="9">
        <v>45614</v>
      </c>
      <c r="B194" t="s">
        <v>890</v>
      </c>
      <c r="C194" s="4" t="s">
        <v>633</v>
      </c>
      <c r="D194" s="7"/>
      <c r="E194">
        <v>9.52</v>
      </c>
      <c r="F194" s="43"/>
      <c r="G194" s="16">
        <f t="shared" si="36"/>
        <v>16417.790000000023</v>
      </c>
      <c r="H194" s="64" t="s">
        <v>625</v>
      </c>
      <c r="I194" s="52"/>
      <c r="J194" s="43"/>
      <c r="K194" s="43"/>
      <c r="L194" s="43"/>
      <c r="M194" s="43"/>
      <c r="N194" s="43"/>
      <c r="O194" s="43"/>
      <c r="P194" s="43"/>
      <c r="Q194" s="43"/>
      <c r="R194" s="43"/>
      <c r="S194" s="43"/>
      <c r="T194" s="43"/>
      <c r="U194" s="43"/>
      <c r="V194" s="43"/>
      <c r="W194" s="43"/>
      <c r="X194" s="43"/>
      <c r="Y194" s="43"/>
      <c r="Z194" s="43">
        <v>9.52</v>
      </c>
      <c r="AA194" s="43"/>
      <c r="AB194" s="43"/>
      <c r="AC194" s="43"/>
      <c r="AD194" s="43"/>
      <c r="AE194" s="43"/>
      <c r="AF194" s="43"/>
      <c r="AG194" s="43"/>
      <c r="AH194" s="43"/>
      <c r="AI194" s="43"/>
      <c r="AJ194" s="43"/>
      <c r="AK194" s="43"/>
      <c r="AL194" s="43"/>
      <c r="AM194" s="43"/>
      <c r="AN194" s="43"/>
      <c r="AO194" s="43"/>
      <c r="AP194" s="43"/>
      <c r="AQ194" s="43"/>
      <c r="AR194" s="53"/>
      <c r="AS194" s="52"/>
      <c r="AT194" s="43"/>
      <c r="AU194" s="43"/>
      <c r="AV194" s="43"/>
      <c r="AW194" s="43"/>
      <c r="AX194" s="43"/>
      <c r="AY194" s="43"/>
      <c r="AZ194" s="43"/>
      <c r="BA194" s="43"/>
      <c r="BB194" s="43"/>
      <c r="BC194" s="43"/>
      <c r="BD194" s="43"/>
      <c r="BE194" s="43"/>
      <c r="BF194" s="43"/>
      <c r="BG194" s="43"/>
      <c r="BH194" s="43"/>
      <c r="BI194" s="43"/>
      <c r="BJ194" s="43"/>
      <c r="BK194" s="43"/>
      <c r="BL194" s="43"/>
      <c r="BM194" s="43"/>
      <c r="BN194" s="43"/>
      <c r="BO194" s="43"/>
      <c r="BP194" s="43"/>
      <c r="BQ194" s="43"/>
      <c r="BR194" s="43"/>
      <c r="BS194" s="43"/>
      <c r="BT194" s="43"/>
      <c r="BU194" s="43"/>
      <c r="BV194" s="43"/>
      <c r="BW194" s="53"/>
      <c r="BX194" s="30">
        <f t="shared" si="35"/>
        <v>0</v>
      </c>
      <c r="BY194" s="52">
        <f t="shared" si="51"/>
        <v>0</v>
      </c>
      <c r="BZ194" s="43">
        <f t="shared" si="52"/>
        <v>9.52</v>
      </c>
      <c r="CA194" s="43"/>
      <c r="CB194" s="43"/>
      <c r="CC194" s="43"/>
      <c r="CD194" s="43"/>
      <c r="CE194" s="43"/>
      <c r="CF194" s="43"/>
      <c r="CG194" s="53"/>
      <c r="CH194" s="52"/>
      <c r="CI194" s="43"/>
      <c r="CJ194" s="43"/>
      <c r="CK194" s="43"/>
      <c r="CL194" s="43"/>
      <c r="CM194" s="43"/>
      <c r="CN194" s="43"/>
      <c r="CO194" s="43"/>
      <c r="CP194" s="43"/>
      <c r="CQ194" s="43"/>
      <c r="CR194" s="43"/>
      <c r="CS194" s="43"/>
      <c r="CT194" s="43"/>
      <c r="CU194" s="43"/>
      <c r="CV194" s="43"/>
      <c r="CW194" s="43"/>
      <c r="CX194" s="43"/>
      <c r="CY194" s="43"/>
      <c r="CZ194" s="7"/>
      <c r="DA194" s="7"/>
      <c r="DB194" s="43"/>
      <c r="DC194" s="43"/>
      <c r="DD194" s="53"/>
      <c r="DE194" s="73">
        <f t="shared" si="37"/>
        <v>0</v>
      </c>
      <c r="DG194" s="52"/>
      <c r="DH194" s="43"/>
      <c r="DI194" s="50">
        <f t="shared" si="38"/>
        <v>6628.0433333333322</v>
      </c>
      <c r="DK194" s="52"/>
      <c r="DL194" s="43"/>
      <c r="DM194" s="50">
        <f t="shared" si="39"/>
        <v>4432.51</v>
      </c>
      <c r="DO194" s="52"/>
      <c r="DP194" s="43"/>
      <c r="DQ194" s="50">
        <f t="shared" si="40"/>
        <v>7995.9800000000032</v>
      </c>
      <c r="DT194" s="52"/>
      <c r="DU194" s="43"/>
      <c r="DV194" s="50">
        <f t="shared" si="41"/>
        <v>518.17000000000007</v>
      </c>
      <c r="DX194" s="52"/>
      <c r="DY194" s="43"/>
      <c r="DZ194" s="53">
        <f t="shared" si="42"/>
        <v>617.75</v>
      </c>
      <c r="EB194" s="52"/>
      <c r="EC194" s="43"/>
      <c r="ED194" s="53">
        <f t="shared" si="43"/>
        <v>500</v>
      </c>
      <c r="EF194" s="52"/>
      <c r="EG194" s="43"/>
      <c r="EH194" s="53">
        <f t="shared" si="44"/>
        <v>1048.04</v>
      </c>
      <c r="EJ194" s="65"/>
      <c r="EK194" s="7"/>
      <c r="EL194" s="53">
        <f t="shared" si="45"/>
        <v>25.299999999999997</v>
      </c>
      <c r="EN194" s="51">
        <f t="shared" si="46"/>
        <v>-5348.0033333333122</v>
      </c>
      <c r="EP194" s="60">
        <f t="shared" si="47"/>
        <v>0</v>
      </c>
      <c r="EQ194" s="61">
        <f t="shared" si="48"/>
        <v>0</v>
      </c>
      <c r="ER194" s="15">
        <f t="shared" si="49"/>
        <v>0</v>
      </c>
      <c r="ES194" s="62">
        <f t="shared" si="53"/>
        <v>0</v>
      </c>
      <c r="EU194" s="6">
        <v>186</v>
      </c>
    </row>
    <row r="195" spans="1:151" x14ac:dyDescent="0.45">
      <c r="A195" s="9">
        <v>45614</v>
      </c>
      <c r="B195" t="s">
        <v>891</v>
      </c>
      <c r="C195" s="4" t="s">
        <v>633</v>
      </c>
      <c r="D195" s="7"/>
      <c r="E195">
        <v>45</v>
      </c>
      <c r="F195" s="43"/>
      <c r="G195" s="16">
        <f t="shared" si="36"/>
        <v>16462.790000000023</v>
      </c>
      <c r="H195" s="64" t="s">
        <v>625</v>
      </c>
      <c r="I195" s="52"/>
      <c r="J195" s="43"/>
      <c r="K195" s="43"/>
      <c r="L195" s="43"/>
      <c r="M195" s="43"/>
      <c r="N195" s="43"/>
      <c r="O195" s="43"/>
      <c r="P195" s="43"/>
      <c r="Q195" s="43"/>
      <c r="R195" s="43"/>
      <c r="S195" s="43"/>
      <c r="T195" s="43"/>
      <c r="U195" s="43"/>
      <c r="V195" s="43"/>
      <c r="W195" s="43"/>
      <c r="X195" s="43"/>
      <c r="Y195" s="43"/>
      <c r="Z195" s="43">
        <v>45</v>
      </c>
      <c r="AA195" s="43"/>
      <c r="AB195" s="43"/>
      <c r="AC195" s="43"/>
      <c r="AD195" s="43"/>
      <c r="AE195" s="43"/>
      <c r="AF195" s="43"/>
      <c r="AG195" s="43"/>
      <c r="AH195" s="43"/>
      <c r="AI195" s="43"/>
      <c r="AJ195" s="43"/>
      <c r="AK195" s="43"/>
      <c r="AL195" s="43"/>
      <c r="AM195" s="43"/>
      <c r="AN195" s="43"/>
      <c r="AO195" s="43"/>
      <c r="AP195" s="43"/>
      <c r="AQ195" s="43"/>
      <c r="AR195" s="53"/>
      <c r="AS195" s="52"/>
      <c r="AT195" s="43"/>
      <c r="AU195" s="43"/>
      <c r="AV195" s="43"/>
      <c r="AW195" s="43"/>
      <c r="AX195" s="43"/>
      <c r="AY195" s="43"/>
      <c r="AZ195" s="43"/>
      <c r="BA195" s="43"/>
      <c r="BB195" s="43"/>
      <c r="BC195" s="43"/>
      <c r="BD195" s="43"/>
      <c r="BE195" s="43"/>
      <c r="BF195" s="43"/>
      <c r="BG195" s="43"/>
      <c r="BH195" s="43"/>
      <c r="BI195" s="43"/>
      <c r="BJ195" s="43"/>
      <c r="BK195" s="43"/>
      <c r="BL195" s="43"/>
      <c r="BM195" s="43"/>
      <c r="BN195" s="43"/>
      <c r="BO195" s="43"/>
      <c r="BP195" s="43"/>
      <c r="BQ195" s="43"/>
      <c r="BR195" s="43"/>
      <c r="BS195" s="43"/>
      <c r="BT195" s="43"/>
      <c r="BU195" s="43"/>
      <c r="BV195" s="43"/>
      <c r="BW195" s="53"/>
      <c r="BX195" s="30">
        <f t="shared" si="35"/>
        <v>0</v>
      </c>
      <c r="BY195" s="52">
        <f t="shared" si="51"/>
        <v>0</v>
      </c>
      <c r="BZ195" s="43">
        <f t="shared" si="52"/>
        <v>45</v>
      </c>
      <c r="CA195" s="43"/>
      <c r="CB195" s="43"/>
      <c r="CC195" s="43"/>
      <c r="CD195" s="43"/>
      <c r="CE195" s="43"/>
      <c r="CF195" s="43"/>
      <c r="CG195" s="53"/>
      <c r="CH195" s="52"/>
      <c r="CI195" s="43"/>
      <c r="CJ195" s="43"/>
      <c r="CK195" s="43"/>
      <c r="CL195" s="43"/>
      <c r="CM195" s="43"/>
      <c r="CN195" s="43"/>
      <c r="CO195" s="43"/>
      <c r="CP195" s="43"/>
      <c r="CQ195" s="43"/>
      <c r="CR195" s="43"/>
      <c r="CS195" s="43"/>
      <c r="CT195" s="43"/>
      <c r="CU195" s="43"/>
      <c r="CV195" s="43"/>
      <c r="CW195" s="43"/>
      <c r="CX195" s="43"/>
      <c r="CY195" s="43"/>
      <c r="CZ195" s="7"/>
      <c r="DA195" s="7"/>
      <c r="DB195" s="43"/>
      <c r="DC195" s="43"/>
      <c r="DD195" s="53"/>
      <c r="DE195" s="73">
        <f t="shared" si="37"/>
        <v>0</v>
      </c>
      <c r="DG195" s="52"/>
      <c r="DH195" s="43"/>
      <c r="DI195" s="50">
        <f t="shared" si="38"/>
        <v>6628.0433333333322</v>
      </c>
      <c r="DK195" s="52"/>
      <c r="DL195" s="43"/>
      <c r="DM195" s="50">
        <f t="shared" si="39"/>
        <v>4432.51</v>
      </c>
      <c r="DO195" s="52"/>
      <c r="DP195" s="43"/>
      <c r="DQ195" s="50">
        <f t="shared" si="40"/>
        <v>7995.9800000000032</v>
      </c>
      <c r="DT195" s="52"/>
      <c r="DU195" s="43"/>
      <c r="DV195" s="50">
        <f t="shared" si="41"/>
        <v>518.17000000000007</v>
      </c>
      <c r="DX195" s="52"/>
      <c r="DY195" s="43"/>
      <c r="DZ195" s="53">
        <f t="shared" si="42"/>
        <v>617.75</v>
      </c>
      <c r="EB195" s="52"/>
      <c r="EC195" s="43"/>
      <c r="ED195" s="53">
        <f t="shared" si="43"/>
        <v>500</v>
      </c>
      <c r="EF195" s="52"/>
      <c r="EG195" s="43"/>
      <c r="EH195" s="53">
        <f t="shared" si="44"/>
        <v>1048.04</v>
      </c>
      <c r="EJ195" s="65"/>
      <c r="EK195" s="7"/>
      <c r="EL195" s="53">
        <f t="shared" si="45"/>
        <v>25.299999999999997</v>
      </c>
      <c r="EN195" s="51">
        <f t="shared" si="46"/>
        <v>-5303.0033333333122</v>
      </c>
      <c r="EP195" s="60">
        <f t="shared" si="47"/>
        <v>0</v>
      </c>
      <c r="EQ195" s="61">
        <f t="shared" si="48"/>
        <v>0</v>
      </c>
      <c r="ER195" s="15">
        <f t="shared" si="49"/>
        <v>0</v>
      </c>
      <c r="ES195" s="163">
        <f t="shared" si="53"/>
        <v>0</v>
      </c>
      <c r="EU195">
        <v>187</v>
      </c>
    </row>
    <row r="196" spans="1:151" x14ac:dyDescent="0.45">
      <c r="A196" s="9">
        <v>45614</v>
      </c>
      <c r="B196" t="s">
        <v>892</v>
      </c>
      <c r="C196" s="4" t="s">
        <v>633</v>
      </c>
      <c r="D196" s="7"/>
      <c r="E196">
        <v>24.56</v>
      </c>
      <c r="F196" s="43"/>
      <c r="G196" s="16">
        <f t="shared" si="36"/>
        <v>16487.350000000024</v>
      </c>
      <c r="H196" s="64" t="s">
        <v>625</v>
      </c>
      <c r="I196" s="52"/>
      <c r="J196" s="43"/>
      <c r="K196" s="43"/>
      <c r="L196" s="43"/>
      <c r="M196" s="43"/>
      <c r="N196" s="43"/>
      <c r="O196" s="43"/>
      <c r="P196" s="43"/>
      <c r="Q196" s="43"/>
      <c r="R196" s="43"/>
      <c r="S196" s="43"/>
      <c r="T196" s="43"/>
      <c r="U196" s="43"/>
      <c r="V196" s="43">
        <v>24.56</v>
      </c>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53"/>
      <c r="AS196" s="52"/>
      <c r="AT196" s="43"/>
      <c r="AU196" s="43"/>
      <c r="AV196" s="43"/>
      <c r="AW196" s="43"/>
      <c r="AX196" s="43"/>
      <c r="AY196" s="43"/>
      <c r="AZ196" s="43"/>
      <c r="BA196" s="43"/>
      <c r="BB196" s="43"/>
      <c r="BC196" s="43"/>
      <c r="BD196" s="43"/>
      <c r="BE196" s="43"/>
      <c r="BF196" s="43"/>
      <c r="BG196" s="43"/>
      <c r="BH196" s="43"/>
      <c r="BI196" s="43"/>
      <c r="BJ196" s="43"/>
      <c r="BK196" s="43"/>
      <c r="BL196" s="43"/>
      <c r="BM196" s="43"/>
      <c r="BN196" s="43"/>
      <c r="BO196" s="43"/>
      <c r="BP196" s="43"/>
      <c r="BQ196" s="43"/>
      <c r="BR196" s="43"/>
      <c r="BS196" s="43"/>
      <c r="BT196" s="43"/>
      <c r="BU196" s="43"/>
      <c r="BV196" s="43"/>
      <c r="BW196" s="53"/>
      <c r="BX196" s="30">
        <f t="shared" si="35"/>
        <v>0</v>
      </c>
      <c r="BY196" s="52">
        <f t="shared" si="51"/>
        <v>0</v>
      </c>
      <c r="BZ196" s="43"/>
      <c r="CA196" s="43"/>
      <c r="CB196" s="43"/>
      <c r="CC196" s="43"/>
      <c r="CD196" s="43"/>
      <c r="CE196" s="43"/>
      <c r="CF196" s="43"/>
      <c r="CG196" s="53">
        <f>E196</f>
        <v>24.56</v>
      </c>
      <c r="CH196" s="52"/>
      <c r="CI196" s="43"/>
      <c r="CJ196" s="43"/>
      <c r="CK196" s="43"/>
      <c r="CL196" s="43"/>
      <c r="CM196" s="43"/>
      <c r="CN196" s="43"/>
      <c r="CO196" s="43"/>
      <c r="CP196" s="43"/>
      <c r="CQ196" s="43"/>
      <c r="CR196" s="43"/>
      <c r="CS196" s="43"/>
      <c r="CT196" s="43"/>
      <c r="CU196" s="43"/>
      <c r="CV196" s="43"/>
      <c r="CW196" s="43"/>
      <c r="CX196" s="43"/>
      <c r="CY196" s="43"/>
      <c r="CZ196" s="7"/>
      <c r="DA196" s="7"/>
      <c r="DB196" s="43"/>
      <c r="DC196" s="43"/>
      <c r="DD196" s="53"/>
      <c r="DE196" s="73">
        <f t="shared" si="37"/>
        <v>0</v>
      </c>
      <c r="DG196" s="52"/>
      <c r="DH196" s="43"/>
      <c r="DI196" s="50">
        <f t="shared" si="38"/>
        <v>6628.0433333333322</v>
      </c>
      <c r="DK196" s="52"/>
      <c r="DL196" s="43"/>
      <c r="DM196" s="50">
        <f t="shared" si="39"/>
        <v>4432.51</v>
      </c>
      <c r="DO196" s="52"/>
      <c r="DP196" s="43"/>
      <c r="DQ196" s="50">
        <f t="shared" si="40"/>
        <v>7995.9800000000032</v>
      </c>
      <c r="DT196" s="52"/>
      <c r="DU196" s="43"/>
      <c r="DV196" s="50">
        <f t="shared" si="41"/>
        <v>518.17000000000007</v>
      </c>
      <c r="DX196" s="52"/>
      <c r="DY196" s="43"/>
      <c r="DZ196" s="53">
        <f t="shared" si="42"/>
        <v>617.75</v>
      </c>
      <c r="EB196" s="52"/>
      <c r="EC196" s="43"/>
      <c r="ED196" s="53">
        <f t="shared" si="43"/>
        <v>500</v>
      </c>
      <c r="EF196" s="52"/>
      <c r="EG196" s="43"/>
      <c r="EH196" s="53">
        <f t="shared" si="44"/>
        <v>1048.04</v>
      </c>
      <c r="EJ196" s="65"/>
      <c r="EK196" s="7"/>
      <c r="EL196" s="53">
        <f t="shared" si="45"/>
        <v>25.299999999999997</v>
      </c>
      <c r="EN196" s="51">
        <f t="shared" si="46"/>
        <v>-5278.4433333333109</v>
      </c>
      <c r="EP196" s="60">
        <f t="shared" si="47"/>
        <v>0</v>
      </c>
      <c r="EQ196" s="61">
        <f t="shared" si="48"/>
        <v>0</v>
      </c>
      <c r="ER196" s="15">
        <f t="shared" si="49"/>
        <v>0</v>
      </c>
      <c r="ES196" s="62">
        <f t="shared" si="53"/>
        <v>0</v>
      </c>
      <c r="EU196" s="6">
        <v>188</v>
      </c>
    </row>
    <row r="197" spans="1:151" x14ac:dyDescent="0.45">
      <c r="A197" s="9">
        <v>45615</v>
      </c>
      <c r="B197" t="s">
        <v>893</v>
      </c>
      <c r="C197" s="4" t="s">
        <v>633</v>
      </c>
      <c r="D197" s="7"/>
      <c r="E197">
        <v>106.52</v>
      </c>
      <c r="F197" s="43"/>
      <c r="G197" s="16">
        <f t="shared" si="36"/>
        <v>16593.870000000024</v>
      </c>
      <c r="H197" s="64" t="s">
        <v>625</v>
      </c>
      <c r="I197" s="52"/>
      <c r="J197" s="43"/>
      <c r="K197" s="43"/>
      <c r="L197" s="43"/>
      <c r="M197" s="43"/>
      <c r="N197" s="43"/>
      <c r="O197" s="43"/>
      <c r="P197" s="43"/>
      <c r="Q197" s="43"/>
      <c r="R197" s="43"/>
      <c r="S197" s="43"/>
      <c r="T197" s="43"/>
      <c r="U197" s="43"/>
      <c r="V197" s="43"/>
      <c r="W197" s="43"/>
      <c r="X197" s="43">
        <v>106.52</v>
      </c>
      <c r="Y197" s="43"/>
      <c r="Z197" s="43"/>
      <c r="AA197" s="43"/>
      <c r="AB197" s="43"/>
      <c r="AC197" s="43"/>
      <c r="AD197" s="43"/>
      <c r="AE197" s="43"/>
      <c r="AF197" s="43"/>
      <c r="AG197" s="43"/>
      <c r="AH197" s="43"/>
      <c r="AI197" s="43"/>
      <c r="AJ197" s="43"/>
      <c r="AK197" s="43"/>
      <c r="AL197" s="43"/>
      <c r="AM197" s="43"/>
      <c r="AN197" s="43"/>
      <c r="AO197" s="43"/>
      <c r="AP197" s="43"/>
      <c r="AQ197" s="43"/>
      <c r="AR197" s="53"/>
      <c r="AS197" s="52"/>
      <c r="AT197" s="43"/>
      <c r="AU197" s="43"/>
      <c r="AV197" s="43"/>
      <c r="AW197" s="43"/>
      <c r="AX197" s="43"/>
      <c r="AY197" s="43"/>
      <c r="AZ197" s="43"/>
      <c r="BA197" s="43"/>
      <c r="BB197" s="43"/>
      <c r="BC197" s="43"/>
      <c r="BD197" s="43"/>
      <c r="BE197" s="43"/>
      <c r="BF197" s="43"/>
      <c r="BG197" s="43"/>
      <c r="BH197" s="43"/>
      <c r="BI197" s="43"/>
      <c r="BJ197" s="43"/>
      <c r="BK197" s="43"/>
      <c r="BL197" s="43"/>
      <c r="BM197" s="43"/>
      <c r="BN197" s="43"/>
      <c r="BO197" s="43"/>
      <c r="BP197" s="43"/>
      <c r="BQ197" s="43"/>
      <c r="BR197" s="43"/>
      <c r="BS197" s="43"/>
      <c r="BT197" s="43"/>
      <c r="BU197" s="43"/>
      <c r="BV197" s="43"/>
      <c r="BW197" s="53"/>
      <c r="BX197" s="30">
        <f t="shared" si="35"/>
        <v>0</v>
      </c>
      <c r="BY197" s="52">
        <f t="shared" si="51"/>
        <v>0</v>
      </c>
      <c r="BZ197" s="43">
        <f>E197</f>
        <v>106.52</v>
      </c>
      <c r="CA197" s="43"/>
      <c r="CB197" s="43"/>
      <c r="CC197" s="43"/>
      <c r="CD197" s="43"/>
      <c r="CE197" s="43"/>
      <c r="CF197" s="43"/>
      <c r="CG197" s="53"/>
      <c r="CH197" s="52"/>
      <c r="CI197" s="43"/>
      <c r="CJ197" s="43"/>
      <c r="CK197" s="43"/>
      <c r="CL197" s="43"/>
      <c r="CM197" s="43"/>
      <c r="CN197" s="43"/>
      <c r="CO197" s="43"/>
      <c r="CP197" s="43"/>
      <c r="CQ197" s="43"/>
      <c r="CR197" s="43"/>
      <c r="CS197" s="43"/>
      <c r="CT197" s="43"/>
      <c r="CU197" s="43"/>
      <c r="CV197" s="43"/>
      <c r="CW197" s="43"/>
      <c r="CX197" s="43"/>
      <c r="CY197" s="43"/>
      <c r="CZ197" s="7"/>
      <c r="DA197" s="7"/>
      <c r="DB197" s="43"/>
      <c r="DC197" s="43"/>
      <c r="DD197" s="53"/>
      <c r="DE197" s="73">
        <f t="shared" si="37"/>
        <v>0</v>
      </c>
      <c r="DG197" s="52"/>
      <c r="DH197" s="43"/>
      <c r="DI197" s="50">
        <f t="shared" si="38"/>
        <v>6628.0433333333322</v>
      </c>
      <c r="DK197" s="52"/>
      <c r="DL197" s="43"/>
      <c r="DM197" s="50">
        <f t="shared" si="39"/>
        <v>4432.51</v>
      </c>
      <c r="DO197" s="52"/>
      <c r="DP197" s="43"/>
      <c r="DQ197" s="50">
        <f t="shared" si="40"/>
        <v>7995.9800000000032</v>
      </c>
      <c r="DT197" s="52"/>
      <c r="DU197" s="43"/>
      <c r="DV197" s="50">
        <f t="shared" si="41"/>
        <v>518.17000000000007</v>
      </c>
      <c r="DX197" s="52"/>
      <c r="DY197" s="43"/>
      <c r="DZ197" s="53">
        <f t="shared" si="42"/>
        <v>617.75</v>
      </c>
      <c r="EB197" s="52"/>
      <c r="EC197" s="43"/>
      <c r="ED197" s="53">
        <f t="shared" si="43"/>
        <v>500</v>
      </c>
      <c r="EF197" s="52"/>
      <c r="EG197" s="43"/>
      <c r="EH197" s="53">
        <f t="shared" si="44"/>
        <v>1048.04</v>
      </c>
      <c r="EJ197" s="65"/>
      <c r="EK197" s="7"/>
      <c r="EL197" s="53">
        <f t="shared" si="45"/>
        <v>25.299999999999997</v>
      </c>
      <c r="EN197" s="51">
        <f t="shared" si="46"/>
        <v>-5171.9233333333104</v>
      </c>
      <c r="EP197" s="60">
        <f t="shared" si="47"/>
        <v>0</v>
      </c>
      <c r="EQ197" s="61">
        <f t="shared" si="48"/>
        <v>0</v>
      </c>
      <c r="ER197" s="15">
        <f t="shared" si="49"/>
        <v>0</v>
      </c>
      <c r="ES197" s="163">
        <f t="shared" si="53"/>
        <v>0</v>
      </c>
      <c r="EU197">
        <v>189</v>
      </c>
    </row>
    <row r="198" spans="1:151" x14ac:dyDescent="0.45">
      <c r="A198" s="9">
        <v>45615</v>
      </c>
      <c r="B198" t="s">
        <v>894</v>
      </c>
      <c r="C198" s="4" t="s">
        <v>633</v>
      </c>
      <c r="D198" s="7"/>
      <c r="E198">
        <v>43.53</v>
      </c>
      <c r="F198" s="43"/>
      <c r="G198" s="16">
        <f t="shared" si="36"/>
        <v>16637.400000000023</v>
      </c>
      <c r="H198" s="64" t="s">
        <v>625</v>
      </c>
      <c r="I198" s="52"/>
      <c r="J198" s="43"/>
      <c r="K198" s="43"/>
      <c r="L198" s="43"/>
      <c r="M198" s="43"/>
      <c r="N198" s="43"/>
      <c r="O198" s="43"/>
      <c r="P198" s="43"/>
      <c r="Q198" s="43"/>
      <c r="R198" s="43"/>
      <c r="S198" s="43"/>
      <c r="T198" s="43"/>
      <c r="U198" s="43"/>
      <c r="V198" s="43"/>
      <c r="W198" s="43"/>
      <c r="X198" s="43"/>
      <c r="Y198" s="43">
        <v>43.53</v>
      </c>
      <c r="Z198" s="43"/>
      <c r="AA198" s="43"/>
      <c r="AB198" s="43"/>
      <c r="AC198" s="43"/>
      <c r="AD198" s="43"/>
      <c r="AE198" s="43"/>
      <c r="AF198" s="43"/>
      <c r="AG198" s="43"/>
      <c r="AH198" s="43"/>
      <c r="AI198" s="43"/>
      <c r="AJ198" s="43"/>
      <c r="AK198" s="43"/>
      <c r="AL198" s="43"/>
      <c r="AM198" s="43"/>
      <c r="AN198" s="43"/>
      <c r="AO198" s="43"/>
      <c r="AP198" s="43"/>
      <c r="AQ198" s="43"/>
      <c r="AR198" s="53"/>
      <c r="AS198" s="52"/>
      <c r="AT198" s="43"/>
      <c r="AU198" s="43"/>
      <c r="AV198" s="43"/>
      <c r="AW198" s="43"/>
      <c r="AX198" s="43"/>
      <c r="AY198" s="43"/>
      <c r="AZ198" s="43"/>
      <c r="BA198" s="43"/>
      <c r="BB198" s="43"/>
      <c r="BC198" s="43"/>
      <c r="BD198" s="43"/>
      <c r="BE198" s="43"/>
      <c r="BF198" s="43"/>
      <c r="BG198" s="43"/>
      <c r="BH198" s="43"/>
      <c r="BI198" s="43"/>
      <c r="BJ198" s="43"/>
      <c r="BK198" s="43"/>
      <c r="BL198" s="43"/>
      <c r="BM198" s="43"/>
      <c r="BN198" s="43"/>
      <c r="BO198" s="43"/>
      <c r="BP198" s="43"/>
      <c r="BQ198" s="43"/>
      <c r="BR198" s="43"/>
      <c r="BS198" s="43"/>
      <c r="BT198" s="43"/>
      <c r="BU198" s="43"/>
      <c r="BV198" s="43"/>
      <c r="BW198" s="53"/>
      <c r="BX198" s="30">
        <f t="shared" si="35"/>
        <v>0</v>
      </c>
      <c r="BY198" s="52">
        <f t="shared" si="51"/>
        <v>0</v>
      </c>
      <c r="BZ198" s="43">
        <f>E198</f>
        <v>43.53</v>
      </c>
      <c r="CA198" s="43"/>
      <c r="CB198" s="43"/>
      <c r="CC198" s="43"/>
      <c r="CD198" s="43"/>
      <c r="CE198" s="43"/>
      <c r="CF198" s="43"/>
      <c r="CG198" s="53"/>
      <c r="CH198" s="52"/>
      <c r="CI198" s="43"/>
      <c r="CJ198" s="43"/>
      <c r="CK198" s="43"/>
      <c r="CL198" s="43"/>
      <c r="CM198" s="43"/>
      <c r="CN198" s="43"/>
      <c r="CO198" s="43"/>
      <c r="CP198" s="43"/>
      <c r="CQ198" s="43"/>
      <c r="CR198" s="43"/>
      <c r="CS198" s="43"/>
      <c r="CT198" s="43"/>
      <c r="CU198" s="43"/>
      <c r="CV198" s="43"/>
      <c r="CW198" s="43"/>
      <c r="CX198" s="43"/>
      <c r="CY198" s="43"/>
      <c r="CZ198" s="7"/>
      <c r="DA198" s="7"/>
      <c r="DB198" s="43"/>
      <c r="DC198" s="43"/>
      <c r="DD198" s="53"/>
      <c r="DE198" s="73">
        <f t="shared" si="37"/>
        <v>0</v>
      </c>
      <c r="DG198" s="52"/>
      <c r="DH198" s="43"/>
      <c r="DI198" s="50">
        <f t="shared" si="38"/>
        <v>6628.0433333333322</v>
      </c>
      <c r="DK198" s="52"/>
      <c r="DL198" s="43"/>
      <c r="DM198" s="50">
        <f t="shared" si="39"/>
        <v>4432.51</v>
      </c>
      <c r="DO198" s="52"/>
      <c r="DP198" s="43"/>
      <c r="DQ198" s="50">
        <f t="shared" si="40"/>
        <v>7995.9800000000032</v>
      </c>
      <c r="DT198" s="52"/>
      <c r="DU198" s="43"/>
      <c r="DV198" s="50">
        <f t="shared" si="41"/>
        <v>518.17000000000007</v>
      </c>
      <c r="DX198" s="52"/>
      <c r="DY198" s="43"/>
      <c r="DZ198" s="53">
        <f t="shared" si="42"/>
        <v>617.75</v>
      </c>
      <c r="EB198" s="52"/>
      <c r="EC198" s="43"/>
      <c r="ED198" s="53">
        <f t="shared" si="43"/>
        <v>500</v>
      </c>
      <c r="EF198" s="52"/>
      <c r="EG198" s="43"/>
      <c r="EH198" s="53">
        <f t="shared" si="44"/>
        <v>1048.04</v>
      </c>
      <c r="EJ198" s="65"/>
      <c r="EK198" s="7"/>
      <c r="EL198" s="53">
        <f t="shared" si="45"/>
        <v>25.299999999999997</v>
      </c>
      <c r="EN198" s="51">
        <f t="shared" si="46"/>
        <v>-5128.3933333333116</v>
      </c>
      <c r="EP198" s="60">
        <f t="shared" si="47"/>
        <v>0</v>
      </c>
      <c r="EQ198" s="61">
        <f t="shared" si="48"/>
        <v>0</v>
      </c>
      <c r="ER198" s="15">
        <f t="shared" si="49"/>
        <v>0</v>
      </c>
      <c r="ES198" s="62">
        <f t="shared" si="53"/>
        <v>0</v>
      </c>
      <c r="EU198" s="6">
        <v>190</v>
      </c>
    </row>
    <row r="199" spans="1:151" x14ac:dyDescent="0.45">
      <c r="A199" s="9">
        <v>45616</v>
      </c>
      <c r="B199" t="s">
        <v>895</v>
      </c>
      <c r="C199" s="223" t="s">
        <v>633</v>
      </c>
      <c r="D199" s="7"/>
      <c r="E199" s="7">
        <v>14.4</v>
      </c>
      <c r="G199" s="16">
        <f t="shared" si="36"/>
        <v>16651.800000000025</v>
      </c>
      <c r="H199" s="64" t="s">
        <v>625</v>
      </c>
      <c r="I199" s="52"/>
      <c r="J199" s="43"/>
      <c r="K199" s="43"/>
      <c r="L199" s="43"/>
      <c r="M199" s="43"/>
      <c r="N199" s="43"/>
      <c r="O199" s="43"/>
      <c r="P199" s="43"/>
      <c r="Q199" s="43"/>
      <c r="R199" s="43"/>
      <c r="S199" s="43"/>
      <c r="T199" s="43"/>
      <c r="U199" s="43"/>
      <c r="V199" s="43"/>
      <c r="W199" s="43"/>
      <c r="X199" s="43"/>
      <c r="Y199" s="43"/>
      <c r="Z199" s="43">
        <v>14.4</v>
      </c>
      <c r="AA199" s="43"/>
      <c r="AB199" s="43"/>
      <c r="AC199" s="43"/>
      <c r="AD199" s="43"/>
      <c r="AE199" s="43"/>
      <c r="AF199" s="43"/>
      <c r="AG199" s="43"/>
      <c r="AH199" s="43"/>
      <c r="AI199" s="43"/>
      <c r="AJ199" s="43"/>
      <c r="AK199" s="43"/>
      <c r="AL199" s="43"/>
      <c r="AM199" s="43"/>
      <c r="AN199" s="43"/>
      <c r="AO199" s="43"/>
      <c r="AP199" s="43"/>
      <c r="AQ199" s="43"/>
      <c r="AR199" s="53"/>
      <c r="AS199" s="52"/>
      <c r="AT199" s="43"/>
      <c r="AU199" s="43"/>
      <c r="AV199" s="43"/>
      <c r="AW199" s="43"/>
      <c r="AX199" s="43"/>
      <c r="AY199" s="43"/>
      <c r="AZ199" s="43"/>
      <c r="BA199" s="43"/>
      <c r="BB199" s="43"/>
      <c r="BC199" s="43"/>
      <c r="BD199" s="43"/>
      <c r="BE199" s="43"/>
      <c r="BF199" s="43"/>
      <c r="BG199" s="43"/>
      <c r="BH199" s="43"/>
      <c r="BI199" s="43"/>
      <c r="BJ199" s="43"/>
      <c r="BK199" s="43"/>
      <c r="BL199" s="43"/>
      <c r="BM199" s="43"/>
      <c r="BN199" s="43"/>
      <c r="BO199" s="43"/>
      <c r="BP199" s="43"/>
      <c r="BQ199" s="43"/>
      <c r="BR199" s="43"/>
      <c r="BS199" s="43"/>
      <c r="BT199" s="43"/>
      <c r="BU199" s="43"/>
      <c r="BV199" s="43"/>
      <c r="BW199" s="53"/>
      <c r="BX199" s="30">
        <f t="shared" ref="BX199:BX262" si="54">E199-SUM(I199:AR199)+F199-SUM(AS199:BW199)</f>
        <v>0</v>
      </c>
      <c r="BY199" s="52">
        <f t="shared" si="51"/>
        <v>0</v>
      </c>
      <c r="BZ199" s="43">
        <f>E199</f>
        <v>14.4</v>
      </c>
      <c r="CA199" s="43"/>
      <c r="CB199" s="43"/>
      <c r="CC199" s="43"/>
      <c r="CD199" s="43"/>
      <c r="CE199" s="43"/>
      <c r="CF199" s="43"/>
      <c r="CG199" s="53"/>
      <c r="CH199" s="52"/>
      <c r="CI199" s="43"/>
      <c r="CJ199" s="43"/>
      <c r="CK199" s="43"/>
      <c r="CL199" s="43"/>
      <c r="CM199" s="43"/>
      <c r="CN199" s="43"/>
      <c r="CO199" s="43"/>
      <c r="CP199" s="43"/>
      <c r="CQ199" s="43"/>
      <c r="CR199" s="43"/>
      <c r="CS199" s="43"/>
      <c r="CT199" s="43"/>
      <c r="CU199" s="43"/>
      <c r="CV199" s="43"/>
      <c r="CW199" s="43"/>
      <c r="CX199" s="43"/>
      <c r="CY199" s="43"/>
      <c r="CZ199" s="7"/>
      <c r="DA199" s="7"/>
      <c r="DB199" s="43"/>
      <c r="DC199" s="43"/>
      <c r="DD199" s="53"/>
      <c r="DE199" s="73">
        <f t="shared" si="37"/>
        <v>0</v>
      </c>
      <c r="DG199" s="52"/>
      <c r="DH199" s="43"/>
      <c r="DI199" s="50">
        <f t="shared" si="38"/>
        <v>6628.0433333333322</v>
      </c>
      <c r="DK199" s="52"/>
      <c r="DL199" s="43"/>
      <c r="DM199" s="50">
        <f t="shared" si="39"/>
        <v>4432.51</v>
      </c>
      <c r="DO199" s="52"/>
      <c r="DP199" s="43"/>
      <c r="DQ199" s="50">
        <f t="shared" si="40"/>
        <v>7995.9800000000032</v>
      </c>
      <c r="DT199" s="52"/>
      <c r="DU199" s="43"/>
      <c r="DV199" s="50">
        <f t="shared" si="41"/>
        <v>518.17000000000007</v>
      </c>
      <c r="DX199" s="52"/>
      <c r="DY199" s="43"/>
      <c r="DZ199" s="53">
        <f t="shared" si="42"/>
        <v>617.75</v>
      </c>
      <c r="EB199" s="52"/>
      <c r="EC199" s="43"/>
      <c r="ED199" s="53">
        <f t="shared" si="43"/>
        <v>500</v>
      </c>
      <c r="EF199" s="52"/>
      <c r="EG199" s="43"/>
      <c r="EH199" s="53">
        <f t="shared" si="44"/>
        <v>1048.04</v>
      </c>
      <c r="EJ199" s="65"/>
      <c r="EK199" s="7"/>
      <c r="EL199" s="53">
        <f t="shared" si="45"/>
        <v>25.299999999999997</v>
      </c>
      <c r="EN199" s="51">
        <f t="shared" si="46"/>
        <v>-5113.9933333333101</v>
      </c>
      <c r="EP199" s="60">
        <f t="shared" si="47"/>
        <v>0</v>
      </c>
      <c r="EQ199" s="61">
        <f t="shared" si="48"/>
        <v>0</v>
      </c>
      <c r="ER199" s="15">
        <f t="shared" si="49"/>
        <v>0</v>
      </c>
      <c r="ES199" s="163">
        <f t="shared" si="53"/>
        <v>0</v>
      </c>
      <c r="EU199">
        <v>191</v>
      </c>
    </row>
    <row r="200" spans="1:151" x14ac:dyDescent="0.45">
      <c r="A200" s="9">
        <v>45616</v>
      </c>
      <c r="B200" t="s">
        <v>896</v>
      </c>
      <c r="C200" s="4" t="s">
        <v>633</v>
      </c>
      <c r="D200" s="7"/>
      <c r="E200">
        <v>28.8</v>
      </c>
      <c r="F200" s="43"/>
      <c r="G200" s="16">
        <f t="shared" ref="G200:G263" si="55">G199+E200-F200</f>
        <v>16680.600000000024</v>
      </c>
      <c r="H200" s="64" t="s">
        <v>625</v>
      </c>
      <c r="I200" s="52"/>
      <c r="J200" s="43"/>
      <c r="K200" s="43"/>
      <c r="L200" s="43"/>
      <c r="M200" s="43"/>
      <c r="N200" s="43"/>
      <c r="O200" s="43"/>
      <c r="P200" s="43"/>
      <c r="Q200" s="43"/>
      <c r="R200" s="43"/>
      <c r="S200" s="43"/>
      <c r="T200" s="43"/>
      <c r="U200" s="43"/>
      <c r="V200" s="43"/>
      <c r="W200" s="43"/>
      <c r="X200" s="43">
        <v>28.8</v>
      </c>
      <c r="Y200" s="43"/>
      <c r="Z200" s="43"/>
      <c r="AA200" s="43"/>
      <c r="AB200" s="43"/>
      <c r="AC200" s="43"/>
      <c r="AD200" s="43"/>
      <c r="AE200" s="43"/>
      <c r="AF200" s="43"/>
      <c r="AG200" s="43"/>
      <c r="AH200" s="43"/>
      <c r="AI200" s="43"/>
      <c r="AJ200" s="43"/>
      <c r="AK200" s="43"/>
      <c r="AL200" s="43"/>
      <c r="AM200" s="43"/>
      <c r="AN200" s="43"/>
      <c r="AO200" s="43"/>
      <c r="AP200" s="43"/>
      <c r="AQ200" s="43"/>
      <c r="AR200" s="53"/>
      <c r="AS200" s="52"/>
      <c r="AT200" s="43"/>
      <c r="AU200" s="43"/>
      <c r="AV200" s="43"/>
      <c r="AW200" s="43"/>
      <c r="AX200" s="43"/>
      <c r="AY200" s="43"/>
      <c r="AZ200" s="43"/>
      <c r="BA200" s="43"/>
      <c r="BB200" s="43"/>
      <c r="BC200" s="43"/>
      <c r="BD200" s="43"/>
      <c r="BE200" s="43"/>
      <c r="BF200" s="43"/>
      <c r="BG200" s="43"/>
      <c r="BH200" s="43"/>
      <c r="BI200" s="43"/>
      <c r="BJ200" s="43"/>
      <c r="BK200" s="43"/>
      <c r="BL200" s="43"/>
      <c r="BM200" s="43"/>
      <c r="BN200" s="43"/>
      <c r="BO200" s="43"/>
      <c r="BP200" s="43"/>
      <c r="BQ200" s="43"/>
      <c r="BR200" s="43"/>
      <c r="BS200" s="43"/>
      <c r="BT200" s="43"/>
      <c r="BU200" s="43"/>
      <c r="BV200" s="43"/>
      <c r="BW200" s="53"/>
      <c r="BX200" s="30">
        <f t="shared" si="54"/>
        <v>0</v>
      </c>
      <c r="BY200" s="52">
        <f t="shared" si="51"/>
        <v>0</v>
      </c>
      <c r="BZ200" s="43">
        <f>E200</f>
        <v>28.8</v>
      </c>
      <c r="CA200" s="43"/>
      <c r="CB200" s="43"/>
      <c r="CC200" s="43"/>
      <c r="CD200" s="43"/>
      <c r="CE200" s="43"/>
      <c r="CF200" s="43"/>
      <c r="CG200" s="53"/>
      <c r="CH200" s="52"/>
      <c r="CI200" s="43"/>
      <c r="CJ200" s="43"/>
      <c r="CK200" s="43"/>
      <c r="CL200" s="43"/>
      <c r="CM200" s="43"/>
      <c r="CN200" s="43"/>
      <c r="CO200" s="43"/>
      <c r="CP200" s="43"/>
      <c r="CQ200" s="43"/>
      <c r="CR200" s="43"/>
      <c r="CS200" s="43"/>
      <c r="CT200" s="43"/>
      <c r="CU200" s="43"/>
      <c r="CV200" s="43"/>
      <c r="CW200" s="43"/>
      <c r="CX200" s="43"/>
      <c r="CY200" s="43"/>
      <c r="CZ200" s="7"/>
      <c r="DA200" s="7"/>
      <c r="DB200" s="43"/>
      <c r="DC200" s="43"/>
      <c r="DD200" s="53"/>
      <c r="DE200" s="73">
        <f t="shared" ref="DE200:DE263" si="56">SUM(E200:F200)-SUM(BY200:DD200)</f>
        <v>0</v>
      </c>
      <c r="DG200" s="52"/>
      <c r="DH200" s="43"/>
      <c r="DI200" s="50">
        <f t="shared" ref="DI200:DI263" si="57">SUM(DI199+DG200-DH200)</f>
        <v>6628.0433333333322</v>
      </c>
      <c r="DK200" s="52"/>
      <c r="DL200" s="43"/>
      <c r="DM200" s="50">
        <f t="shared" ref="DM200:DM263" si="58">SUM(DM199+DK200-DL200)</f>
        <v>4432.51</v>
      </c>
      <c r="DO200" s="52"/>
      <c r="DP200" s="43"/>
      <c r="DQ200" s="50">
        <f t="shared" ref="DQ200:DQ263" si="59">SUM(DQ199+DO200-DP200)</f>
        <v>7995.9800000000032</v>
      </c>
      <c r="DT200" s="52"/>
      <c r="DU200" s="43"/>
      <c r="DV200" s="50">
        <f t="shared" ref="DV200:DV263" si="60">SUM(DV199+DT200-DU200)</f>
        <v>518.17000000000007</v>
      </c>
      <c r="DX200" s="52"/>
      <c r="DY200" s="43"/>
      <c r="DZ200" s="53">
        <f t="shared" ref="DZ200:DZ263" si="61">DZ199+DX200-DY200</f>
        <v>617.75</v>
      </c>
      <c r="EB200" s="52"/>
      <c r="EC200" s="43"/>
      <c r="ED200" s="53">
        <f t="shared" ref="ED200:ED263" si="62">ED199+EB200-EC200</f>
        <v>500</v>
      </c>
      <c r="EF200" s="52"/>
      <c r="EG200" s="43"/>
      <c r="EH200" s="53">
        <f t="shared" ref="EH200:EH263" si="63">EH199+EF200-EG200</f>
        <v>1048.04</v>
      </c>
      <c r="EJ200" s="65"/>
      <c r="EK200" s="7"/>
      <c r="EL200" s="53">
        <f t="shared" ref="EL200:EL263" si="64">EL199+EJ200-EK200</f>
        <v>25.299999999999997</v>
      </c>
      <c r="EN200" s="51">
        <f t="shared" ref="EN200:EN263" si="65">G200-DI200-DM200-DQ200-DZ200-ED200-EH200-EL200-DV200</f>
        <v>-5085.1933333333109</v>
      </c>
      <c r="EP200" s="60">
        <f t="shared" ref="EP200:EP263" si="66">DH199-AS199-AX199-BD199-BI199-BN199-BS199</f>
        <v>0</v>
      </c>
      <c r="EQ200" s="61">
        <f t="shared" ref="EQ200:EQ263" si="67">+DL200-BT200-BO200-BJ200-BE200-AY200-AT200</f>
        <v>0</v>
      </c>
      <c r="ER200" s="15">
        <f t="shared" ref="ER200:ER263" si="68">+DP200-BU200-BP200-BK200-BF200-AZ200-AU200</f>
        <v>0</v>
      </c>
      <c r="ES200" s="62">
        <f t="shared" si="53"/>
        <v>0</v>
      </c>
      <c r="EU200" s="6">
        <v>192</v>
      </c>
    </row>
    <row r="201" spans="1:151" x14ac:dyDescent="0.45">
      <c r="A201" s="9">
        <v>45617</v>
      </c>
      <c r="B201" t="s">
        <v>897</v>
      </c>
      <c r="C201" s="3" t="s">
        <v>185</v>
      </c>
      <c r="D201" s="7"/>
      <c r="F201" s="7">
        <v>241.63</v>
      </c>
      <c r="G201" s="66">
        <f t="shared" si="55"/>
        <v>16438.970000000023</v>
      </c>
      <c r="H201" s="64" t="s">
        <v>625</v>
      </c>
      <c r="I201" s="52"/>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53"/>
      <c r="AS201" s="52"/>
      <c r="AT201" s="43"/>
      <c r="AU201" s="43"/>
      <c r="AV201" s="43"/>
      <c r="AW201" s="43"/>
      <c r="AX201" s="43"/>
      <c r="AY201" s="43"/>
      <c r="AZ201" s="43"/>
      <c r="BA201" s="43"/>
      <c r="BB201" s="43"/>
      <c r="BC201" s="43"/>
      <c r="BD201" s="43"/>
      <c r="BE201" s="43"/>
      <c r="BF201" s="43"/>
      <c r="BG201" s="43"/>
      <c r="BH201" s="43"/>
      <c r="BI201" s="43"/>
      <c r="BJ201" s="43"/>
      <c r="BK201" s="43"/>
      <c r="BL201" s="43"/>
      <c r="BM201" s="43"/>
      <c r="BN201" s="43"/>
      <c r="BO201" s="43"/>
      <c r="BP201" s="43"/>
      <c r="BQ201" s="43"/>
      <c r="BR201" s="43"/>
      <c r="BS201" s="43"/>
      <c r="BT201" s="43"/>
      <c r="BU201" s="43"/>
      <c r="BV201" s="43"/>
      <c r="BW201" s="53">
        <v>241.63</v>
      </c>
      <c r="BX201" s="30">
        <f t="shared" si="54"/>
        <v>0</v>
      </c>
      <c r="BY201" s="52">
        <f t="shared" si="51"/>
        <v>0</v>
      </c>
      <c r="BZ201" s="43"/>
      <c r="CA201" s="43"/>
      <c r="CB201" s="43"/>
      <c r="CC201" s="43"/>
      <c r="CD201" s="43"/>
      <c r="CE201" s="43"/>
      <c r="CF201" s="43"/>
      <c r="CG201" s="53"/>
      <c r="CH201" s="52"/>
      <c r="CI201" s="43"/>
      <c r="CJ201" s="43"/>
      <c r="CK201" s="43"/>
      <c r="CL201" s="43"/>
      <c r="CM201" s="43"/>
      <c r="CN201" s="43"/>
      <c r="CO201" s="43"/>
      <c r="CP201" s="43"/>
      <c r="CQ201" s="43"/>
      <c r="CR201" s="43"/>
      <c r="CS201" s="43"/>
      <c r="CT201" s="43"/>
      <c r="CU201" s="43"/>
      <c r="CV201" s="43"/>
      <c r="CW201" s="43"/>
      <c r="CX201" s="43"/>
      <c r="CY201" s="43"/>
      <c r="CZ201" s="7"/>
      <c r="DA201" s="7"/>
      <c r="DB201" s="43"/>
      <c r="DC201" s="43"/>
      <c r="DD201" s="53">
        <f>F201</f>
        <v>241.63</v>
      </c>
      <c r="DE201" s="73">
        <f t="shared" si="56"/>
        <v>0</v>
      </c>
      <c r="DG201" s="52"/>
      <c r="DH201" s="43"/>
      <c r="DI201" s="50">
        <f t="shared" si="57"/>
        <v>6628.0433333333322</v>
      </c>
      <c r="DK201" s="52"/>
      <c r="DL201" s="43"/>
      <c r="DM201" s="50">
        <f t="shared" si="58"/>
        <v>4432.51</v>
      </c>
      <c r="DO201" s="52"/>
      <c r="DP201" s="43"/>
      <c r="DQ201" s="50">
        <f t="shared" si="59"/>
        <v>7995.9800000000032</v>
      </c>
      <c r="DT201" s="52"/>
      <c r="DU201" s="43"/>
      <c r="DV201" s="50">
        <f t="shared" si="60"/>
        <v>518.17000000000007</v>
      </c>
      <c r="DX201" s="52"/>
      <c r="DY201" s="43"/>
      <c r="DZ201" s="53">
        <f t="shared" si="61"/>
        <v>617.75</v>
      </c>
      <c r="EB201" s="52"/>
      <c r="EC201" s="43"/>
      <c r="ED201" s="53">
        <f t="shared" si="62"/>
        <v>500</v>
      </c>
      <c r="EF201" s="52"/>
      <c r="EG201" s="43"/>
      <c r="EH201" s="53">
        <f t="shared" si="63"/>
        <v>1048.04</v>
      </c>
      <c r="EJ201" s="65"/>
      <c r="EK201" s="7"/>
      <c r="EL201" s="53">
        <f t="shared" si="64"/>
        <v>25.299999999999997</v>
      </c>
      <c r="EN201" s="51">
        <f t="shared" si="65"/>
        <v>-5326.8233333333119</v>
      </c>
      <c r="EP201" s="60">
        <f t="shared" si="66"/>
        <v>0</v>
      </c>
      <c r="EQ201" s="61">
        <f t="shared" si="67"/>
        <v>0</v>
      </c>
      <c r="ER201" s="15">
        <f t="shared" si="68"/>
        <v>0</v>
      </c>
      <c r="ES201" s="163">
        <f t="shared" si="53"/>
        <v>0</v>
      </c>
      <c r="EU201">
        <v>193</v>
      </c>
    </row>
    <row r="202" spans="1:151" x14ac:dyDescent="0.45">
      <c r="A202" s="9">
        <v>45618</v>
      </c>
      <c r="B202" t="s">
        <v>898</v>
      </c>
      <c r="C202" s="4" t="s">
        <v>633</v>
      </c>
      <c r="D202" s="7"/>
      <c r="E202">
        <v>829.08</v>
      </c>
      <c r="F202" s="43"/>
      <c r="G202" s="16">
        <f t="shared" si="55"/>
        <v>17268.050000000025</v>
      </c>
      <c r="H202" s="64" t="s">
        <v>625</v>
      </c>
      <c r="I202" s="52"/>
      <c r="J202" s="43"/>
      <c r="K202" s="43"/>
      <c r="L202" s="43"/>
      <c r="M202" s="43"/>
      <c r="N202" s="43"/>
      <c r="O202" s="43"/>
      <c r="P202" s="43"/>
      <c r="Q202" s="43"/>
      <c r="R202" s="43"/>
      <c r="S202" s="43"/>
      <c r="T202" s="43"/>
      <c r="U202" s="43"/>
      <c r="V202" s="43"/>
      <c r="W202" s="43"/>
      <c r="X202" s="43">
        <v>829.08</v>
      </c>
      <c r="Y202" s="43"/>
      <c r="Z202" s="43"/>
      <c r="AA202" s="43"/>
      <c r="AB202" s="43"/>
      <c r="AC202" s="43"/>
      <c r="AD202" s="43"/>
      <c r="AE202" s="43"/>
      <c r="AF202" s="43"/>
      <c r="AG202" s="43"/>
      <c r="AH202" s="43"/>
      <c r="AI202" s="43"/>
      <c r="AJ202" s="43"/>
      <c r="AK202" s="43"/>
      <c r="AL202" s="43"/>
      <c r="AM202" s="43"/>
      <c r="AN202" s="43"/>
      <c r="AO202" s="43"/>
      <c r="AP202" s="43"/>
      <c r="AQ202" s="43"/>
      <c r="AR202" s="53"/>
      <c r="AS202" s="52"/>
      <c r="AT202" s="43"/>
      <c r="AU202" s="43"/>
      <c r="AV202" s="43"/>
      <c r="AW202" s="43"/>
      <c r="AX202" s="43"/>
      <c r="AY202" s="43"/>
      <c r="AZ202" s="43"/>
      <c r="BA202" s="43"/>
      <c r="BB202" s="43"/>
      <c r="BC202" s="43"/>
      <c r="BD202" s="43"/>
      <c r="BE202" s="43"/>
      <c r="BF202" s="43"/>
      <c r="BG202" s="43"/>
      <c r="BH202" s="43"/>
      <c r="BI202" s="43"/>
      <c r="BJ202" s="43"/>
      <c r="BK202" s="43"/>
      <c r="BL202" s="43"/>
      <c r="BM202" s="43"/>
      <c r="BN202" s="43"/>
      <c r="BO202" s="43"/>
      <c r="BP202" s="43"/>
      <c r="BQ202" s="43"/>
      <c r="BR202" s="43"/>
      <c r="BS202" s="43"/>
      <c r="BT202" s="43"/>
      <c r="BU202" s="43"/>
      <c r="BV202" s="43"/>
      <c r="BW202" s="53"/>
      <c r="BX202" s="30">
        <f t="shared" si="54"/>
        <v>0</v>
      </c>
      <c r="BY202" s="52">
        <f t="shared" si="51"/>
        <v>0</v>
      </c>
      <c r="BZ202" s="43">
        <f>E202</f>
        <v>829.08</v>
      </c>
      <c r="CA202" s="43"/>
      <c r="CB202" s="43"/>
      <c r="CC202" s="43"/>
      <c r="CD202" s="43"/>
      <c r="CE202" s="43"/>
      <c r="CF202" s="43"/>
      <c r="CG202" s="53"/>
      <c r="CH202" s="52"/>
      <c r="CI202" s="43"/>
      <c r="CJ202" s="43"/>
      <c r="CK202" s="43"/>
      <c r="CL202" s="43"/>
      <c r="CM202" s="43"/>
      <c r="CN202" s="43"/>
      <c r="CO202" s="43"/>
      <c r="CP202" s="43"/>
      <c r="CQ202" s="43"/>
      <c r="CR202" s="43"/>
      <c r="CS202" s="43"/>
      <c r="CT202" s="43"/>
      <c r="CU202" s="43"/>
      <c r="CV202" s="43"/>
      <c r="CW202" s="43"/>
      <c r="CX202" s="43"/>
      <c r="CY202" s="43"/>
      <c r="CZ202" s="7"/>
      <c r="DA202" s="7"/>
      <c r="DB202" s="43"/>
      <c r="DC202" s="43"/>
      <c r="DD202" s="53"/>
      <c r="DE202" s="73">
        <f t="shared" si="56"/>
        <v>0</v>
      </c>
      <c r="DG202" s="52"/>
      <c r="DH202" s="43"/>
      <c r="DI202" s="50">
        <f t="shared" si="57"/>
        <v>6628.0433333333322</v>
      </c>
      <c r="DK202" s="52"/>
      <c r="DL202" s="43"/>
      <c r="DM202" s="50">
        <f t="shared" si="58"/>
        <v>4432.51</v>
      </c>
      <c r="DO202" s="52"/>
      <c r="DP202" s="43"/>
      <c r="DQ202" s="50">
        <f t="shared" si="59"/>
        <v>7995.9800000000032</v>
      </c>
      <c r="DT202" s="52"/>
      <c r="DU202" s="43"/>
      <c r="DV202" s="50">
        <f t="shared" si="60"/>
        <v>518.17000000000007</v>
      </c>
      <c r="DX202" s="52"/>
      <c r="DY202" s="43"/>
      <c r="DZ202" s="53">
        <f t="shared" si="61"/>
        <v>617.75</v>
      </c>
      <c r="EB202" s="52"/>
      <c r="EC202" s="43"/>
      <c r="ED202" s="53">
        <f t="shared" si="62"/>
        <v>500</v>
      </c>
      <c r="EF202" s="52"/>
      <c r="EG202" s="43"/>
      <c r="EH202" s="53">
        <f t="shared" si="63"/>
        <v>1048.04</v>
      </c>
      <c r="EJ202" s="65"/>
      <c r="EK202" s="7"/>
      <c r="EL202" s="53">
        <f t="shared" si="64"/>
        <v>25.299999999999997</v>
      </c>
      <c r="EN202" s="51">
        <f t="shared" si="65"/>
        <v>-4497.7433333333101</v>
      </c>
      <c r="EP202" s="60">
        <f t="shared" si="66"/>
        <v>0</v>
      </c>
      <c r="EQ202" s="61">
        <f t="shared" si="67"/>
        <v>0</v>
      </c>
      <c r="ER202" s="15">
        <f t="shared" si="68"/>
        <v>0</v>
      </c>
      <c r="ES202" s="62">
        <f t="shared" si="53"/>
        <v>0</v>
      </c>
      <c r="ET202" t="s">
        <v>1004</v>
      </c>
      <c r="EU202" s="6">
        <v>194</v>
      </c>
    </row>
    <row r="203" spans="1:151" x14ac:dyDescent="0.45">
      <c r="A203" s="9">
        <v>45621</v>
      </c>
      <c r="B203" t="s">
        <v>899</v>
      </c>
      <c r="C203" s="223" t="s">
        <v>633</v>
      </c>
      <c r="D203" s="7"/>
      <c r="E203" s="7">
        <v>338.26</v>
      </c>
      <c r="G203" s="16">
        <f t="shared" si="55"/>
        <v>17606.310000000023</v>
      </c>
      <c r="H203" s="64" t="s">
        <v>625</v>
      </c>
      <c r="I203" s="52"/>
      <c r="J203" s="43"/>
      <c r="K203" s="43"/>
      <c r="L203" s="43"/>
      <c r="M203" s="43"/>
      <c r="N203" s="43"/>
      <c r="O203" s="43"/>
      <c r="P203" s="43"/>
      <c r="Q203" s="43"/>
      <c r="R203" s="43"/>
      <c r="S203" s="43"/>
      <c r="T203" s="43"/>
      <c r="U203" s="43"/>
      <c r="V203" s="43"/>
      <c r="W203" s="43"/>
      <c r="X203" s="43"/>
      <c r="Y203" s="43"/>
      <c r="Z203" s="43"/>
      <c r="AA203" s="43"/>
      <c r="AB203" s="43">
        <v>338.26</v>
      </c>
      <c r="AC203" s="43"/>
      <c r="AD203" s="43"/>
      <c r="AE203" s="43"/>
      <c r="AF203" s="43"/>
      <c r="AG203" s="43"/>
      <c r="AH203" s="43"/>
      <c r="AI203" s="43"/>
      <c r="AJ203" s="43"/>
      <c r="AK203" s="43"/>
      <c r="AL203" s="43"/>
      <c r="AM203" s="43"/>
      <c r="AN203" s="43"/>
      <c r="AO203" s="43"/>
      <c r="AP203" s="43"/>
      <c r="AQ203" s="43"/>
      <c r="AR203" s="53"/>
      <c r="AS203" s="52"/>
      <c r="AT203" s="43"/>
      <c r="AU203" s="43"/>
      <c r="AV203" s="43"/>
      <c r="AW203" s="43"/>
      <c r="AX203" s="43"/>
      <c r="AY203" s="43"/>
      <c r="AZ203" s="43"/>
      <c r="BA203" s="43"/>
      <c r="BB203" s="43"/>
      <c r="BC203" s="43"/>
      <c r="BD203" s="43"/>
      <c r="BE203" s="43"/>
      <c r="BF203" s="43"/>
      <c r="BG203" s="43"/>
      <c r="BH203" s="43"/>
      <c r="BI203" s="43"/>
      <c r="BJ203" s="43"/>
      <c r="BK203" s="43"/>
      <c r="BL203" s="43"/>
      <c r="BM203" s="43"/>
      <c r="BN203" s="43"/>
      <c r="BO203" s="43"/>
      <c r="BP203" s="43"/>
      <c r="BQ203" s="43"/>
      <c r="BR203" s="43"/>
      <c r="BS203" s="43"/>
      <c r="BT203" s="43"/>
      <c r="BU203" s="43"/>
      <c r="BV203" s="43"/>
      <c r="BW203" s="53"/>
      <c r="BX203" s="30">
        <f t="shared" si="54"/>
        <v>0</v>
      </c>
      <c r="BY203" s="52">
        <f t="shared" si="51"/>
        <v>0</v>
      </c>
      <c r="BZ203" s="43">
        <f>E203</f>
        <v>338.26</v>
      </c>
      <c r="CA203" s="43"/>
      <c r="CB203" s="43"/>
      <c r="CC203" s="43"/>
      <c r="CD203" s="43"/>
      <c r="CE203" s="43"/>
      <c r="CF203" s="43"/>
      <c r="CG203" s="53"/>
      <c r="CH203" s="52"/>
      <c r="CI203" s="43"/>
      <c r="CJ203" s="43"/>
      <c r="CK203" s="43"/>
      <c r="CL203" s="43"/>
      <c r="CM203" s="43"/>
      <c r="CN203" s="43"/>
      <c r="CO203" s="43"/>
      <c r="CP203" s="43"/>
      <c r="CQ203" s="43"/>
      <c r="CR203" s="43"/>
      <c r="CS203" s="43"/>
      <c r="CT203" s="43"/>
      <c r="CU203" s="43"/>
      <c r="CV203" s="43"/>
      <c r="CW203" s="43"/>
      <c r="CX203" s="43"/>
      <c r="CY203" s="43"/>
      <c r="CZ203" s="7"/>
      <c r="DA203" s="7"/>
      <c r="DB203" s="43"/>
      <c r="DC203" s="43"/>
      <c r="DD203" s="53"/>
      <c r="DE203" s="73">
        <f t="shared" si="56"/>
        <v>0</v>
      </c>
      <c r="DG203" s="52"/>
      <c r="DH203" s="43"/>
      <c r="DI203" s="50">
        <f t="shared" si="57"/>
        <v>6628.0433333333322</v>
      </c>
      <c r="DK203" s="52"/>
      <c r="DL203" s="43"/>
      <c r="DM203" s="50">
        <f t="shared" si="58"/>
        <v>4432.51</v>
      </c>
      <c r="DO203" s="52"/>
      <c r="DP203" s="43"/>
      <c r="DQ203" s="50">
        <f t="shared" si="59"/>
        <v>7995.9800000000032</v>
      </c>
      <c r="DT203" s="52"/>
      <c r="DU203" s="43"/>
      <c r="DV203" s="50">
        <f t="shared" si="60"/>
        <v>518.17000000000007</v>
      </c>
      <c r="DX203" s="52"/>
      <c r="DY203" s="43"/>
      <c r="DZ203" s="53">
        <f t="shared" si="61"/>
        <v>617.75</v>
      </c>
      <c r="EB203" s="52"/>
      <c r="EC203" s="43"/>
      <c r="ED203" s="53">
        <f t="shared" si="62"/>
        <v>500</v>
      </c>
      <c r="EF203" s="52"/>
      <c r="EG203" s="43"/>
      <c r="EH203" s="53">
        <f t="shared" si="63"/>
        <v>1048.04</v>
      </c>
      <c r="EJ203" s="65"/>
      <c r="EK203" s="7"/>
      <c r="EL203" s="53">
        <f t="shared" si="64"/>
        <v>25.299999999999997</v>
      </c>
      <c r="EN203" s="51">
        <f t="shared" si="65"/>
        <v>-4159.4833333333117</v>
      </c>
      <c r="EP203" s="60">
        <f t="shared" si="66"/>
        <v>0</v>
      </c>
      <c r="EQ203" s="61">
        <f t="shared" si="67"/>
        <v>0</v>
      </c>
      <c r="ER203" s="15">
        <f t="shared" si="68"/>
        <v>0</v>
      </c>
      <c r="ES203" s="163">
        <f t="shared" si="53"/>
        <v>-338.26</v>
      </c>
      <c r="EU203">
        <v>195</v>
      </c>
    </row>
    <row r="204" spans="1:151" x14ac:dyDescent="0.45">
      <c r="A204" s="9">
        <v>45621</v>
      </c>
      <c r="B204" t="s">
        <v>900</v>
      </c>
      <c r="C204" s="4" t="s">
        <v>633</v>
      </c>
      <c r="D204" s="7"/>
      <c r="E204">
        <v>14.4</v>
      </c>
      <c r="F204" s="43"/>
      <c r="G204" s="16">
        <f t="shared" si="55"/>
        <v>17620.710000000025</v>
      </c>
      <c r="H204" s="64" t="s">
        <v>625</v>
      </c>
      <c r="I204" s="52"/>
      <c r="J204" s="43"/>
      <c r="K204" s="43"/>
      <c r="L204" s="43"/>
      <c r="M204" s="43"/>
      <c r="N204" s="43"/>
      <c r="O204" s="43"/>
      <c r="P204" s="43"/>
      <c r="Q204" s="43"/>
      <c r="R204" s="43"/>
      <c r="S204" s="43"/>
      <c r="T204" s="43"/>
      <c r="U204" s="43"/>
      <c r="V204" s="43"/>
      <c r="W204" s="43"/>
      <c r="X204" s="43"/>
      <c r="Y204" s="43"/>
      <c r="Z204" s="43">
        <v>14.4</v>
      </c>
      <c r="AA204" s="43"/>
      <c r="AB204" s="43"/>
      <c r="AC204" s="43"/>
      <c r="AD204" s="43"/>
      <c r="AE204" s="43"/>
      <c r="AF204" s="43"/>
      <c r="AG204" s="43"/>
      <c r="AH204" s="43"/>
      <c r="AI204" s="43"/>
      <c r="AJ204" s="43"/>
      <c r="AK204" s="43"/>
      <c r="AL204" s="43"/>
      <c r="AM204" s="43"/>
      <c r="AN204" s="43"/>
      <c r="AO204" s="43"/>
      <c r="AP204" s="43"/>
      <c r="AQ204" s="43"/>
      <c r="AR204" s="53"/>
      <c r="AS204" s="52"/>
      <c r="AT204" s="43"/>
      <c r="AU204" s="43"/>
      <c r="AV204" s="43"/>
      <c r="AW204" s="43"/>
      <c r="AX204" s="43"/>
      <c r="AY204" s="43"/>
      <c r="AZ204" s="43"/>
      <c r="BA204" s="43"/>
      <c r="BB204" s="43"/>
      <c r="BC204" s="43"/>
      <c r="BD204" s="43"/>
      <c r="BE204" s="43"/>
      <c r="BF204" s="43"/>
      <c r="BG204" s="43"/>
      <c r="BH204" s="43"/>
      <c r="BI204" s="43"/>
      <c r="BJ204" s="43"/>
      <c r="BK204" s="43"/>
      <c r="BL204" s="43"/>
      <c r="BM204" s="43"/>
      <c r="BN204" s="43"/>
      <c r="BO204" s="43"/>
      <c r="BP204" s="43"/>
      <c r="BQ204" s="43"/>
      <c r="BR204" s="43"/>
      <c r="BS204" s="43"/>
      <c r="BT204" s="43"/>
      <c r="BU204" s="43"/>
      <c r="BV204" s="43"/>
      <c r="BW204" s="53"/>
      <c r="BX204" s="30">
        <f t="shared" si="54"/>
        <v>0</v>
      </c>
      <c r="BY204" s="52">
        <f t="shared" si="51"/>
        <v>0</v>
      </c>
      <c r="BZ204" s="43">
        <f>E204</f>
        <v>14.4</v>
      </c>
      <c r="CA204" s="43"/>
      <c r="CB204" s="43"/>
      <c r="CC204" s="43"/>
      <c r="CD204" s="43"/>
      <c r="CE204" s="43"/>
      <c r="CF204" s="43"/>
      <c r="CG204" s="53"/>
      <c r="CH204" s="52"/>
      <c r="CI204" s="43"/>
      <c r="CJ204" s="43"/>
      <c r="CK204" s="43"/>
      <c r="CL204" s="43"/>
      <c r="CM204" s="43"/>
      <c r="CN204" s="43"/>
      <c r="CO204" s="43"/>
      <c r="CP204" s="43"/>
      <c r="CQ204" s="43"/>
      <c r="CR204" s="43"/>
      <c r="CS204" s="43"/>
      <c r="CT204" s="43"/>
      <c r="CU204" s="43"/>
      <c r="CV204" s="43"/>
      <c r="CW204" s="43"/>
      <c r="CX204" s="43"/>
      <c r="CY204" s="43"/>
      <c r="CZ204" s="7"/>
      <c r="DA204" s="7"/>
      <c r="DB204" s="43"/>
      <c r="DC204" s="43"/>
      <c r="DD204" s="53"/>
      <c r="DE204" s="73">
        <f t="shared" si="56"/>
        <v>0</v>
      </c>
      <c r="DG204" s="52"/>
      <c r="DH204" s="43"/>
      <c r="DI204" s="50">
        <f t="shared" si="57"/>
        <v>6628.0433333333322</v>
      </c>
      <c r="DK204" s="52"/>
      <c r="DL204" s="43"/>
      <c r="DM204" s="50">
        <f t="shared" si="58"/>
        <v>4432.51</v>
      </c>
      <c r="DO204" s="52"/>
      <c r="DP204" s="43"/>
      <c r="DQ204" s="50">
        <f t="shared" si="59"/>
        <v>7995.9800000000032</v>
      </c>
      <c r="DT204" s="52"/>
      <c r="DU204" s="43"/>
      <c r="DV204" s="50">
        <f t="shared" si="60"/>
        <v>518.17000000000007</v>
      </c>
      <c r="DX204" s="52"/>
      <c r="DY204" s="43"/>
      <c r="DZ204" s="53">
        <f t="shared" si="61"/>
        <v>617.75</v>
      </c>
      <c r="EB204" s="52"/>
      <c r="EC204" s="43"/>
      <c r="ED204" s="53">
        <f t="shared" si="62"/>
        <v>500</v>
      </c>
      <c r="EF204" s="52"/>
      <c r="EG204" s="43"/>
      <c r="EH204" s="53">
        <f t="shared" si="63"/>
        <v>1048.04</v>
      </c>
      <c r="EJ204" s="65"/>
      <c r="EK204" s="7"/>
      <c r="EL204" s="53">
        <f t="shared" si="64"/>
        <v>25.299999999999997</v>
      </c>
      <c r="EN204" s="51">
        <f t="shared" si="65"/>
        <v>-4145.0833333333103</v>
      </c>
      <c r="EP204" s="60">
        <f t="shared" si="66"/>
        <v>0</v>
      </c>
      <c r="EQ204" s="61">
        <f t="shared" si="67"/>
        <v>0</v>
      </c>
      <c r="ER204" s="15">
        <f t="shared" si="68"/>
        <v>0</v>
      </c>
      <c r="ES204" s="62">
        <f t="shared" si="53"/>
        <v>0</v>
      </c>
      <c r="EU204" s="6">
        <v>196</v>
      </c>
    </row>
    <row r="205" spans="1:151" x14ac:dyDescent="0.45">
      <c r="A205" s="9">
        <v>45621</v>
      </c>
      <c r="B205" t="s">
        <v>901</v>
      </c>
      <c r="C205" s="3" t="s">
        <v>685</v>
      </c>
      <c r="D205" s="7"/>
      <c r="F205" s="7">
        <v>25</v>
      </c>
      <c r="G205" s="16">
        <f t="shared" si="55"/>
        <v>17595.710000000025</v>
      </c>
      <c r="H205" s="64" t="s">
        <v>625</v>
      </c>
      <c r="I205" s="52"/>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53"/>
      <c r="AS205" s="52"/>
      <c r="AT205" s="43"/>
      <c r="AU205" s="43"/>
      <c r="AV205" s="43">
        <v>25</v>
      </c>
      <c r="AW205" s="43"/>
      <c r="AX205" s="43"/>
      <c r="AY205" s="43"/>
      <c r="AZ205" s="43"/>
      <c r="BA205" s="43"/>
      <c r="BB205" s="43"/>
      <c r="BC205" s="43"/>
      <c r="BD205" s="43"/>
      <c r="BE205" s="43"/>
      <c r="BF205" s="43"/>
      <c r="BG205" s="43"/>
      <c r="BH205" s="43"/>
      <c r="BI205" s="43"/>
      <c r="BJ205" s="43"/>
      <c r="BK205" s="43"/>
      <c r="BL205" s="43"/>
      <c r="BM205" s="43"/>
      <c r="BN205" s="43"/>
      <c r="BO205" s="43"/>
      <c r="BP205" s="43"/>
      <c r="BQ205" s="43"/>
      <c r="BR205" s="43"/>
      <c r="BS205" s="43"/>
      <c r="BT205" s="43"/>
      <c r="BU205" s="43"/>
      <c r="BV205" s="43"/>
      <c r="BW205" s="53"/>
      <c r="BX205" s="30">
        <f t="shared" si="54"/>
        <v>0</v>
      </c>
      <c r="BY205" s="52">
        <f t="shared" si="51"/>
        <v>0</v>
      </c>
      <c r="BZ205" s="43"/>
      <c r="CA205" s="43"/>
      <c r="CB205" s="43"/>
      <c r="CC205" s="43"/>
      <c r="CD205" s="43"/>
      <c r="CE205" s="43"/>
      <c r="CF205" s="43"/>
      <c r="CG205" s="53"/>
      <c r="CH205" s="52"/>
      <c r="CI205" s="43">
        <f>F205</f>
        <v>25</v>
      </c>
      <c r="CJ205" s="43"/>
      <c r="CK205" s="43"/>
      <c r="CL205" s="43"/>
      <c r="CM205" s="43"/>
      <c r="CN205" s="43"/>
      <c r="CO205" s="43"/>
      <c r="CP205" s="43"/>
      <c r="CQ205" s="43"/>
      <c r="CR205" s="43"/>
      <c r="CS205" s="43"/>
      <c r="CT205" s="43"/>
      <c r="CU205" s="43"/>
      <c r="CV205" s="43"/>
      <c r="CW205" s="43"/>
      <c r="CX205" s="43"/>
      <c r="CY205" s="43"/>
      <c r="CZ205" s="7"/>
      <c r="DA205" s="7"/>
      <c r="DB205" s="43"/>
      <c r="DC205" s="43"/>
      <c r="DD205" s="53"/>
      <c r="DE205" s="73">
        <f t="shared" si="56"/>
        <v>0</v>
      </c>
      <c r="DG205" s="52"/>
      <c r="DH205" s="43"/>
      <c r="DI205" s="50">
        <f t="shared" si="57"/>
        <v>6628.0433333333322</v>
      </c>
      <c r="DK205" s="52"/>
      <c r="DL205" s="43"/>
      <c r="DM205" s="50">
        <f t="shared" si="58"/>
        <v>4432.51</v>
      </c>
      <c r="DO205" s="52"/>
      <c r="DP205" s="43"/>
      <c r="DQ205" s="50">
        <f t="shared" si="59"/>
        <v>7995.9800000000032</v>
      </c>
      <c r="DT205" s="52"/>
      <c r="DU205" s="43"/>
      <c r="DV205" s="50">
        <f t="shared" si="60"/>
        <v>518.17000000000007</v>
      </c>
      <c r="DX205" s="52"/>
      <c r="DY205" s="43"/>
      <c r="DZ205" s="53">
        <f t="shared" si="61"/>
        <v>617.75</v>
      </c>
      <c r="EB205" s="52"/>
      <c r="EC205" s="43"/>
      <c r="ED205" s="53">
        <f t="shared" si="62"/>
        <v>500</v>
      </c>
      <c r="EF205" s="52"/>
      <c r="EG205" s="43"/>
      <c r="EH205" s="53">
        <f t="shared" si="63"/>
        <v>1048.04</v>
      </c>
      <c r="EJ205" s="65"/>
      <c r="EK205" s="7"/>
      <c r="EL205" s="53">
        <f t="shared" si="64"/>
        <v>25.299999999999997</v>
      </c>
      <c r="EN205" s="51">
        <f t="shared" si="65"/>
        <v>-4170.0833333333103</v>
      </c>
      <c r="EP205" s="60">
        <f t="shared" si="66"/>
        <v>0</v>
      </c>
      <c r="EQ205" s="61">
        <f t="shared" si="67"/>
        <v>0</v>
      </c>
      <c r="ER205" s="15">
        <f t="shared" si="68"/>
        <v>0</v>
      </c>
      <c r="ES205" s="163">
        <f t="shared" si="53"/>
        <v>0</v>
      </c>
      <c r="EU205">
        <v>197</v>
      </c>
    </row>
    <row r="206" spans="1:151" x14ac:dyDescent="0.45">
      <c r="A206" s="9">
        <v>45622</v>
      </c>
      <c r="B206" t="s">
        <v>902</v>
      </c>
      <c r="C206" s="4" t="s">
        <v>633</v>
      </c>
      <c r="D206" s="7"/>
      <c r="E206">
        <v>58.83</v>
      </c>
      <c r="F206" s="43"/>
      <c r="G206" s="16">
        <f t="shared" si="55"/>
        <v>17654.540000000026</v>
      </c>
      <c r="H206" s="64" t="s">
        <v>625</v>
      </c>
      <c r="I206" s="52"/>
      <c r="J206" s="43"/>
      <c r="K206" s="43"/>
      <c r="L206" s="43"/>
      <c r="M206" s="43"/>
      <c r="N206" s="43"/>
      <c r="O206" s="43"/>
      <c r="P206" s="43"/>
      <c r="Q206" s="43"/>
      <c r="R206" s="43"/>
      <c r="S206" s="43"/>
      <c r="T206" s="43"/>
      <c r="U206" s="43"/>
      <c r="V206" s="43"/>
      <c r="W206" s="43"/>
      <c r="X206" s="43"/>
      <c r="Y206" s="43"/>
      <c r="Z206" s="43"/>
      <c r="AA206" s="43"/>
      <c r="AB206" s="43">
        <v>58.83</v>
      </c>
      <c r="AC206" s="43"/>
      <c r="AD206" s="43"/>
      <c r="AE206" s="43"/>
      <c r="AF206" s="43"/>
      <c r="AG206" s="43"/>
      <c r="AH206" s="43"/>
      <c r="AI206" s="43"/>
      <c r="AJ206" s="43"/>
      <c r="AK206" s="43"/>
      <c r="AL206" s="43"/>
      <c r="AM206" s="43"/>
      <c r="AN206" s="43"/>
      <c r="AO206" s="43"/>
      <c r="AP206" s="43"/>
      <c r="AQ206" s="43"/>
      <c r="AR206" s="53"/>
      <c r="AS206" s="52"/>
      <c r="AT206" s="43"/>
      <c r="AU206" s="43"/>
      <c r="AV206" s="43"/>
      <c r="AW206" s="43"/>
      <c r="AX206" s="43"/>
      <c r="AY206" s="43"/>
      <c r="AZ206" s="43"/>
      <c r="BA206" s="43"/>
      <c r="BB206" s="43"/>
      <c r="BC206" s="43"/>
      <c r="BD206" s="43"/>
      <c r="BE206" s="43"/>
      <c r="BF206" s="43"/>
      <c r="BG206" s="43"/>
      <c r="BH206" s="43"/>
      <c r="BI206" s="43"/>
      <c r="BJ206" s="43"/>
      <c r="BK206" s="43"/>
      <c r="BL206" s="43"/>
      <c r="BM206" s="43"/>
      <c r="BN206" s="43"/>
      <c r="BO206" s="43"/>
      <c r="BP206" s="43"/>
      <c r="BQ206" s="43"/>
      <c r="BR206" s="43"/>
      <c r="BS206" s="43"/>
      <c r="BT206" s="43"/>
      <c r="BU206" s="43"/>
      <c r="BV206" s="43"/>
      <c r="BW206" s="53"/>
      <c r="BX206" s="30">
        <f t="shared" si="54"/>
        <v>0</v>
      </c>
      <c r="BY206" s="52">
        <f t="shared" si="51"/>
        <v>0</v>
      </c>
      <c r="BZ206" s="43">
        <f>E206</f>
        <v>58.83</v>
      </c>
      <c r="CA206" s="43"/>
      <c r="CB206" s="43"/>
      <c r="CC206" s="43"/>
      <c r="CD206" s="43"/>
      <c r="CE206" s="43"/>
      <c r="CF206" s="43"/>
      <c r="CG206" s="53"/>
      <c r="CH206" s="52"/>
      <c r="CI206" s="43"/>
      <c r="CJ206" s="43"/>
      <c r="CK206" s="68"/>
      <c r="CL206" s="68"/>
      <c r="CM206" s="68"/>
      <c r="CN206" s="68"/>
      <c r="CO206" s="43"/>
      <c r="CP206" s="43"/>
      <c r="CQ206" s="43"/>
      <c r="CR206" s="43"/>
      <c r="CS206" s="43"/>
      <c r="CT206" s="43"/>
      <c r="CU206" s="43"/>
      <c r="CV206" s="43"/>
      <c r="CW206" s="43"/>
      <c r="CX206" s="43"/>
      <c r="CY206" s="43"/>
      <c r="CZ206" s="7"/>
      <c r="DA206" s="7"/>
      <c r="DB206" s="43"/>
      <c r="DC206" s="43"/>
      <c r="DD206" s="53"/>
      <c r="DE206" s="73">
        <f t="shared" si="56"/>
        <v>0</v>
      </c>
      <c r="DG206" s="52"/>
      <c r="DH206" s="43"/>
      <c r="DI206" s="50">
        <f t="shared" si="57"/>
        <v>6628.0433333333322</v>
      </c>
      <c r="DK206" s="52"/>
      <c r="DL206" s="43"/>
      <c r="DM206" s="50">
        <f t="shared" si="58"/>
        <v>4432.51</v>
      </c>
      <c r="DO206" s="52"/>
      <c r="DP206" s="43"/>
      <c r="DQ206" s="50">
        <f t="shared" si="59"/>
        <v>7995.9800000000032</v>
      </c>
      <c r="DT206" s="52"/>
      <c r="DU206" s="43"/>
      <c r="DV206" s="50">
        <f t="shared" si="60"/>
        <v>518.17000000000007</v>
      </c>
      <c r="DX206" s="52"/>
      <c r="DY206" s="43"/>
      <c r="DZ206" s="53">
        <f t="shared" si="61"/>
        <v>617.75</v>
      </c>
      <c r="EB206" s="52"/>
      <c r="EC206" s="43"/>
      <c r="ED206" s="53">
        <f t="shared" si="62"/>
        <v>500</v>
      </c>
      <c r="EF206" s="52"/>
      <c r="EG206" s="43"/>
      <c r="EH206" s="53">
        <f t="shared" si="63"/>
        <v>1048.04</v>
      </c>
      <c r="EJ206" s="65"/>
      <c r="EK206" s="7"/>
      <c r="EL206" s="53">
        <f t="shared" si="64"/>
        <v>25.299999999999997</v>
      </c>
      <c r="EN206" s="51">
        <f t="shared" si="65"/>
        <v>-4111.2533333333085</v>
      </c>
      <c r="EP206" s="60">
        <f t="shared" si="66"/>
        <v>0</v>
      </c>
      <c r="EQ206" s="61">
        <f t="shared" si="67"/>
        <v>0</v>
      </c>
      <c r="ER206" s="15">
        <f t="shared" si="68"/>
        <v>0</v>
      </c>
      <c r="ES206" s="62">
        <f t="shared" si="53"/>
        <v>-58.83</v>
      </c>
      <c r="EU206" s="6">
        <v>198</v>
      </c>
    </row>
    <row r="207" spans="1:151" x14ac:dyDescent="0.45">
      <c r="A207" s="9">
        <v>45623</v>
      </c>
      <c r="B207" t="s">
        <v>903</v>
      </c>
      <c r="C207" s="4" t="s">
        <v>633</v>
      </c>
      <c r="D207" s="7"/>
      <c r="E207">
        <v>24.56</v>
      </c>
      <c r="F207" s="43"/>
      <c r="G207" s="16">
        <f t="shared" si="55"/>
        <v>17679.100000000028</v>
      </c>
      <c r="H207" s="64" t="s">
        <v>625</v>
      </c>
      <c r="I207" s="52"/>
      <c r="J207" s="43"/>
      <c r="K207" s="43"/>
      <c r="L207" s="43"/>
      <c r="M207" s="43"/>
      <c r="N207" s="43"/>
      <c r="O207" s="43"/>
      <c r="P207" s="43"/>
      <c r="Q207" s="43"/>
      <c r="R207" s="43"/>
      <c r="S207" s="43"/>
      <c r="T207" s="43"/>
      <c r="U207" s="43"/>
      <c r="V207" s="43"/>
      <c r="W207" s="43"/>
      <c r="X207" s="43"/>
      <c r="Y207" s="43"/>
      <c r="Z207" s="43"/>
      <c r="AA207" s="43"/>
      <c r="AB207" s="43">
        <v>24.56</v>
      </c>
      <c r="AC207" s="43"/>
      <c r="AD207" s="43"/>
      <c r="AE207" s="43"/>
      <c r="AF207" s="43"/>
      <c r="AG207" s="43"/>
      <c r="AH207" s="43"/>
      <c r="AI207" s="43"/>
      <c r="AJ207" s="43"/>
      <c r="AK207" s="43"/>
      <c r="AL207" s="43"/>
      <c r="AM207" s="43"/>
      <c r="AN207" s="43"/>
      <c r="AO207" s="43"/>
      <c r="AP207" s="43"/>
      <c r="AQ207" s="43"/>
      <c r="AR207" s="53"/>
      <c r="AS207" s="52"/>
      <c r="AT207" s="43"/>
      <c r="AU207" s="43"/>
      <c r="AV207" s="43"/>
      <c r="AW207" s="43"/>
      <c r="AX207" s="43"/>
      <c r="AY207" s="43"/>
      <c r="AZ207" s="43"/>
      <c r="BA207" s="43"/>
      <c r="BB207" s="43"/>
      <c r="BC207" s="43"/>
      <c r="BD207" s="43"/>
      <c r="BE207" s="43"/>
      <c r="BF207" s="43"/>
      <c r="BG207" s="43"/>
      <c r="BH207" s="43"/>
      <c r="BI207" s="43"/>
      <c r="BJ207" s="43"/>
      <c r="BK207" s="43"/>
      <c r="BL207" s="43"/>
      <c r="BM207" s="43"/>
      <c r="BN207" s="43"/>
      <c r="BO207" s="43"/>
      <c r="BP207" s="43"/>
      <c r="BQ207" s="43"/>
      <c r="BR207" s="43"/>
      <c r="BS207" s="43"/>
      <c r="BT207" s="43"/>
      <c r="BU207" s="43"/>
      <c r="BV207" s="43"/>
      <c r="BW207" s="53"/>
      <c r="BX207" s="30">
        <f t="shared" si="54"/>
        <v>0</v>
      </c>
      <c r="BY207" s="52">
        <f t="shared" si="51"/>
        <v>0</v>
      </c>
      <c r="BZ207" s="43"/>
      <c r="CA207" s="43"/>
      <c r="CB207" s="43"/>
      <c r="CC207" s="43"/>
      <c r="CD207" s="43"/>
      <c r="CE207" s="43"/>
      <c r="CF207" s="43"/>
      <c r="CG207" s="53">
        <f>E207</f>
        <v>24.56</v>
      </c>
      <c r="CH207" s="52"/>
      <c r="CI207" s="43"/>
      <c r="CJ207" s="43"/>
      <c r="CK207" s="43"/>
      <c r="CL207" s="43"/>
      <c r="CM207" s="43"/>
      <c r="CN207" s="43"/>
      <c r="CO207" s="43"/>
      <c r="CP207" s="43"/>
      <c r="CQ207" s="43"/>
      <c r="CR207" s="43"/>
      <c r="CS207" s="43"/>
      <c r="CT207" s="43"/>
      <c r="CU207" s="43"/>
      <c r="CV207" s="43"/>
      <c r="CW207" s="43"/>
      <c r="CX207" s="43"/>
      <c r="CY207" s="43"/>
      <c r="CZ207" s="7"/>
      <c r="DA207" s="7"/>
      <c r="DB207" s="43"/>
      <c r="DC207" s="43"/>
      <c r="DD207" s="53"/>
      <c r="DE207" s="73">
        <f t="shared" si="56"/>
        <v>0</v>
      </c>
      <c r="DG207" s="52"/>
      <c r="DH207" s="43"/>
      <c r="DI207" s="50">
        <f t="shared" si="57"/>
        <v>6628.0433333333322</v>
      </c>
      <c r="DK207" s="52"/>
      <c r="DL207" s="43"/>
      <c r="DM207" s="50">
        <f t="shared" si="58"/>
        <v>4432.51</v>
      </c>
      <c r="DO207" s="52"/>
      <c r="DP207" s="43"/>
      <c r="DQ207" s="50">
        <f t="shared" si="59"/>
        <v>7995.9800000000032</v>
      </c>
      <c r="DT207" s="52"/>
      <c r="DU207" s="43"/>
      <c r="DV207" s="50">
        <f t="shared" si="60"/>
        <v>518.17000000000007</v>
      </c>
      <c r="DX207" s="52"/>
      <c r="DY207" s="43"/>
      <c r="DZ207" s="53">
        <f t="shared" si="61"/>
        <v>617.75</v>
      </c>
      <c r="EB207" s="52"/>
      <c r="EC207" s="43"/>
      <c r="ED207" s="53">
        <f t="shared" si="62"/>
        <v>500</v>
      </c>
      <c r="EF207" s="52"/>
      <c r="EG207" s="43"/>
      <c r="EH207" s="53">
        <f t="shared" si="63"/>
        <v>1048.04</v>
      </c>
      <c r="EJ207" s="65"/>
      <c r="EK207" s="7"/>
      <c r="EL207" s="53">
        <f t="shared" si="64"/>
        <v>25.299999999999997</v>
      </c>
      <c r="EN207" s="51">
        <f t="shared" si="65"/>
        <v>-4086.6933333333072</v>
      </c>
      <c r="EP207" s="60">
        <f t="shared" si="66"/>
        <v>0</v>
      </c>
      <c r="EQ207" s="61">
        <f t="shared" si="67"/>
        <v>0</v>
      </c>
      <c r="ER207" s="15">
        <f t="shared" si="68"/>
        <v>0</v>
      </c>
      <c r="ES207" s="163">
        <f t="shared" si="53"/>
        <v>0</v>
      </c>
      <c r="EU207">
        <v>199</v>
      </c>
    </row>
    <row r="208" spans="1:151" x14ac:dyDescent="0.45">
      <c r="A208" s="9">
        <v>45624</v>
      </c>
      <c r="B208" t="s">
        <v>904</v>
      </c>
      <c r="C208" s="4" t="s">
        <v>633</v>
      </c>
      <c r="D208" s="7"/>
      <c r="E208">
        <v>14.71</v>
      </c>
      <c r="F208" s="43"/>
      <c r="G208" s="16">
        <f t="shared" si="55"/>
        <v>17693.810000000027</v>
      </c>
      <c r="H208" s="64" t="s">
        <v>625</v>
      </c>
      <c r="I208" s="52"/>
      <c r="J208" s="43"/>
      <c r="K208" s="43"/>
      <c r="L208" s="43"/>
      <c r="M208" s="43"/>
      <c r="N208" s="43"/>
      <c r="O208" s="43"/>
      <c r="P208" s="43"/>
      <c r="Q208" s="43"/>
      <c r="R208" s="43"/>
      <c r="S208" s="43"/>
      <c r="T208" s="43"/>
      <c r="U208" s="43"/>
      <c r="V208" s="43"/>
      <c r="W208" s="43"/>
      <c r="X208" s="43"/>
      <c r="Y208" s="43"/>
      <c r="Z208" s="43"/>
      <c r="AA208" s="43"/>
      <c r="AB208" s="43">
        <v>14.71</v>
      </c>
      <c r="AC208" s="43"/>
      <c r="AD208" s="43"/>
      <c r="AE208" s="43"/>
      <c r="AF208" s="43"/>
      <c r="AG208" s="43"/>
      <c r="AH208" s="43"/>
      <c r="AI208" s="43"/>
      <c r="AJ208" s="43"/>
      <c r="AK208" s="43"/>
      <c r="AL208" s="43"/>
      <c r="AM208" s="43"/>
      <c r="AN208" s="43"/>
      <c r="AO208" s="43"/>
      <c r="AP208" s="43"/>
      <c r="AQ208" s="43"/>
      <c r="AR208" s="53"/>
      <c r="AS208" s="52"/>
      <c r="AT208" s="43"/>
      <c r="AU208" s="43"/>
      <c r="AV208" s="43"/>
      <c r="AW208" s="43"/>
      <c r="AX208" s="43"/>
      <c r="AY208" s="43"/>
      <c r="AZ208" s="43"/>
      <c r="BA208" s="43"/>
      <c r="BB208" s="43"/>
      <c r="BC208" s="43"/>
      <c r="BD208" s="43"/>
      <c r="BE208" s="43"/>
      <c r="BF208" s="43"/>
      <c r="BG208" s="43"/>
      <c r="BH208" s="43"/>
      <c r="BI208" s="43"/>
      <c r="BJ208" s="43"/>
      <c r="BK208" s="43"/>
      <c r="BL208" s="43"/>
      <c r="BM208" s="43"/>
      <c r="BN208" s="43"/>
      <c r="BO208" s="43"/>
      <c r="BP208" s="43"/>
      <c r="BQ208" s="43"/>
      <c r="BR208" s="43"/>
      <c r="BS208" s="43"/>
      <c r="BT208" s="43"/>
      <c r="BU208" s="43"/>
      <c r="BV208" s="43"/>
      <c r="BW208" s="53"/>
      <c r="BX208" s="30">
        <f t="shared" si="54"/>
        <v>0</v>
      </c>
      <c r="BY208" s="52">
        <f t="shared" si="51"/>
        <v>0</v>
      </c>
      <c r="BZ208" s="43">
        <f>E208</f>
        <v>14.71</v>
      </c>
      <c r="CA208" s="43"/>
      <c r="CB208" s="43"/>
      <c r="CC208" s="43"/>
      <c r="CD208" s="43"/>
      <c r="CE208" s="43"/>
      <c r="CF208" s="43"/>
      <c r="CG208" s="53"/>
      <c r="CH208" s="52"/>
      <c r="CI208" s="43"/>
      <c r="CJ208" s="43"/>
      <c r="CK208" s="43"/>
      <c r="CL208" s="43"/>
      <c r="CM208" s="43"/>
      <c r="CN208" s="43"/>
      <c r="CO208" s="43"/>
      <c r="CP208" s="43"/>
      <c r="CQ208" s="43"/>
      <c r="CR208" s="43"/>
      <c r="CS208" s="43"/>
      <c r="CT208" s="43"/>
      <c r="CU208" s="43"/>
      <c r="CV208" s="43"/>
      <c r="CW208" s="43"/>
      <c r="CX208" s="43"/>
      <c r="CY208" s="43"/>
      <c r="CZ208" s="7"/>
      <c r="DA208" s="7"/>
      <c r="DB208" s="43"/>
      <c r="DC208" s="43"/>
      <c r="DD208" s="53"/>
      <c r="DE208" s="73">
        <f t="shared" si="56"/>
        <v>0</v>
      </c>
      <c r="DG208" s="52"/>
      <c r="DH208" s="43"/>
      <c r="DI208" s="50">
        <f t="shared" si="57"/>
        <v>6628.0433333333322</v>
      </c>
      <c r="DK208" s="52"/>
      <c r="DL208" s="43"/>
      <c r="DM208" s="50">
        <f t="shared" si="58"/>
        <v>4432.51</v>
      </c>
      <c r="DO208" s="52"/>
      <c r="DP208" s="43"/>
      <c r="DQ208" s="50">
        <f t="shared" si="59"/>
        <v>7995.9800000000032</v>
      </c>
      <c r="DT208" s="52"/>
      <c r="DU208" s="43"/>
      <c r="DV208" s="50">
        <f t="shared" si="60"/>
        <v>518.17000000000007</v>
      </c>
      <c r="DX208" s="52"/>
      <c r="DY208" s="43"/>
      <c r="DZ208" s="53">
        <f t="shared" si="61"/>
        <v>617.75</v>
      </c>
      <c r="EB208" s="52"/>
      <c r="EC208" s="43"/>
      <c r="ED208" s="53">
        <f t="shared" si="62"/>
        <v>500</v>
      </c>
      <c r="EF208" s="52"/>
      <c r="EG208" s="43"/>
      <c r="EH208" s="53">
        <f t="shared" si="63"/>
        <v>1048.04</v>
      </c>
      <c r="EJ208" s="65"/>
      <c r="EK208" s="7"/>
      <c r="EL208" s="53">
        <f t="shared" si="64"/>
        <v>25.299999999999997</v>
      </c>
      <c r="EN208" s="51">
        <f t="shared" si="65"/>
        <v>-4071.9833333333081</v>
      </c>
      <c r="EP208" s="60">
        <f t="shared" si="66"/>
        <v>0</v>
      </c>
      <c r="EQ208" s="61">
        <f t="shared" si="67"/>
        <v>0</v>
      </c>
      <c r="ER208" s="15">
        <f t="shared" si="68"/>
        <v>0</v>
      </c>
      <c r="ES208" s="62">
        <f t="shared" si="53"/>
        <v>-14.71</v>
      </c>
      <c r="EU208" s="6">
        <v>200</v>
      </c>
    </row>
    <row r="209" spans="1:151" x14ac:dyDescent="0.45">
      <c r="A209" s="9">
        <v>45625</v>
      </c>
      <c r="B209" t="s">
        <v>905</v>
      </c>
      <c r="C209" s="223" t="s">
        <v>633</v>
      </c>
      <c r="D209" s="7"/>
      <c r="E209" s="7">
        <v>9.52</v>
      </c>
      <c r="G209" s="16">
        <f t="shared" si="55"/>
        <v>17703.330000000027</v>
      </c>
      <c r="H209" s="64" t="s">
        <v>625</v>
      </c>
      <c r="I209" s="52"/>
      <c r="J209" s="43"/>
      <c r="K209" s="43"/>
      <c r="L209" s="43"/>
      <c r="M209" s="43"/>
      <c r="N209" s="43"/>
      <c r="O209" s="43"/>
      <c r="P209" s="43"/>
      <c r="Q209" s="43"/>
      <c r="R209" s="43"/>
      <c r="S209" s="43"/>
      <c r="T209" s="43"/>
      <c r="U209" s="43"/>
      <c r="V209" s="43"/>
      <c r="W209" s="43"/>
      <c r="X209" s="43"/>
      <c r="Y209" s="43">
        <v>9.52</v>
      </c>
      <c r="Z209" s="43"/>
      <c r="AA209" s="43"/>
      <c r="AB209" s="43"/>
      <c r="AC209" s="43"/>
      <c r="AD209" s="43"/>
      <c r="AE209" s="43"/>
      <c r="AF209" s="43"/>
      <c r="AG209" s="43"/>
      <c r="AH209" s="43"/>
      <c r="AI209" s="43"/>
      <c r="AJ209" s="43"/>
      <c r="AK209" s="43"/>
      <c r="AL209" s="43"/>
      <c r="AM209" s="43"/>
      <c r="AN209" s="43"/>
      <c r="AO209" s="43"/>
      <c r="AP209" s="43"/>
      <c r="AQ209" s="43"/>
      <c r="AR209" s="53"/>
      <c r="AS209" s="52"/>
      <c r="AT209" s="43"/>
      <c r="AU209" s="43"/>
      <c r="AV209" s="43"/>
      <c r="AW209" s="43"/>
      <c r="AX209" s="43"/>
      <c r="AY209" s="43"/>
      <c r="AZ209" s="43"/>
      <c r="BA209" s="43"/>
      <c r="BB209" s="43"/>
      <c r="BC209" s="43"/>
      <c r="BD209" s="43"/>
      <c r="BE209" s="43"/>
      <c r="BF209" s="43"/>
      <c r="BG209" s="43"/>
      <c r="BH209" s="43"/>
      <c r="BI209" s="43"/>
      <c r="BJ209" s="43"/>
      <c r="BK209" s="43"/>
      <c r="BL209" s="43"/>
      <c r="BM209" s="43"/>
      <c r="BN209" s="43"/>
      <c r="BO209" s="43"/>
      <c r="BP209" s="43"/>
      <c r="BQ209" s="43"/>
      <c r="BR209" s="43"/>
      <c r="BS209" s="43"/>
      <c r="BT209" s="43"/>
      <c r="BU209" s="43"/>
      <c r="BV209" s="43"/>
      <c r="BW209" s="53"/>
      <c r="BX209" s="30">
        <f t="shared" si="54"/>
        <v>0</v>
      </c>
      <c r="BY209" s="52">
        <f t="shared" si="51"/>
        <v>0</v>
      </c>
      <c r="BZ209" s="43">
        <f>E209</f>
        <v>9.52</v>
      </c>
      <c r="CA209" s="43"/>
      <c r="CB209" s="43"/>
      <c r="CC209" s="43"/>
      <c r="CD209" s="43"/>
      <c r="CE209" s="43"/>
      <c r="CF209" s="43"/>
      <c r="CG209" s="53"/>
      <c r="CH209" s="52"/>
      <c r="CI209" s="43"/>
      <c r="CJ209" s="43"/>
      <c r="CK209" s="43"/>
      <c r="CL209" s="43"/>
      <c r="CM209" s="43"/>
      <c r="CN209" s="43"/>
      <c r="CO209" s="43"/>
      <c r="CP209" s="43"/>
      <c r="CQ209" s="43"/>
      <c r="CR209" s="43"/>
      <c r="CS209" s="43"/>
      <c r="CT209" s="43"/>
      <c r="CU209" s="43"/>
      <c r="CV209" s="43"/>
      <c r="CW209" s="43"/>
      <c r="CX209" s="43"/>
      <c r="CY209" s="43"/>
      <c r="CZ209" s="7"/>
      <c r="DA209" s="7"/>
      <c r="DB209" s="43"/>
      <c r="DC209" s="43"/>
      <c r="DD209" s="53"/>
      <c r="DE209" s="73">
        <f t="shared" si="56"/>
        <v>0</v>
      </c>
      <c r="DG209" s="52"/>
      <c r="DH209" s="43"/>
      <c r="DI209" s="50">
        <f t="shared" si="57"/>
        <v>6628.0433333333322</v>
      </c>
      <c r="DK209" s="52"/>
      <c r="DL209" s="43"/>
      <c r="DM209" s="50">
        <f t="shared" si="58"/>
        <v>4432.51</v>
      </c>
      <c r="DO209" s="52"/>
      <c r="DP209" s="43"/>
      <c r="DQ209" s="50">
        <f t="shared" si="59"/>
        <v>7995.9800000000032</v>
      </c>
      <c r="DT209" s="52"/>
      <c r="DU209" s="43"/>
      <c r="DV209" s="50">
        <f t="shared" si="60"/>
        <v>518.17000000000007</v>
      </c>
      <c r="DX209" s="52"/>
      <c r="DY209" s="43"/>
      <c r="DZ209" s="53">
        <f t="shared" si="61"/>
        <v>617.75</v>
      </c>
      <c r="EB209" s="52"/>
      <c r="EC209" s="43"/>
      <c r="ED209" s="53">
        <f t="shared" si="62"/>
        <v>500</v>
      </c>
      <c r="EF209" s="52"/>
      <c r="EG209" s="43"/>
      <c r="EH209" s="53">
        <f t="shared" si="63"/>
        <v>1048.04</v>
      </c>
      <c r="EJ209" s="65"/>
      <c r="EK209" s="7"/>
      <c r="EL209" s="53">
        <f t="shared" si="64"/>
        <v>25.299999999999997</v>
      </c>
      <c r="EN209" s="51">
        <f t="shared" si="65"/>
        <v>-4062.4633333333077</v>
      </c>
      <c r="EP209" s="60">
        <f t="shared" si="66"/>
        <v>0</v>
      </c>
      <c r="EQ209" s="61">
        <f t="shared" si="67"/>
        <v>0</v>
      </c>
      <c r="ER209" s="15">
        <f t="shared" si="68"/>
        <v>0</v>
      </c>
      <c r="ES209" s="163">
        <f t="shared" si="53"/>
        <v>0</v>
      </c>
      <c r="EU209">
        <v>201</v>
      </c>
    </row>
    <row r="210" spans="1:151" x14ac:dyDescent="0.45">
      <c r="A210" s="9">
        <v>45625</v>
      </c>
      <c r="B210" t="s">
        <v>906</v>
      </c>
      <c r="C210" s="223" t="s">
        <v>633</v>
      </c>
      <c r="D210" s="7"/>
      <c r="E210" s="7">
        <v>14.71</v>
      </c>
      <c r="G210" s="16">
        <f t="shared" si="55"/>
        <v>17718.040000000026</v>
      </c>
      <c r="H210" s="64" t="s">
        <v>625</v>
      </c>
      <c r="I210" s="52"/>
      <c r="J210" s="43"/>
      <c r="K210" s="43"/>
      <c r="L210" s="43"/>
      <c r="M210" s="43"/>
      <c r="N210" s="43"/>
      <c r="O210" s="43"/>
      <c r="P210" s="43"/>
      <c r="Q210" s="43"/>
      <c r="R210" s="43"/>
      <c r="S210" s="43"/>
      <c r="T210" s="43"/>
      <c r="U210" s="43"/>
      <c r="V210" s="43"/>
      <c r="W210" s="43"/>
      <c r="X210" s="43"/>
      <c r="Y210" s="43"/>
      <c r="Z210" s="43"/>
      <c r="AA210" s="43"/>
      <c r="AB210" s="43">
        <v>14.71</v>
      </c>
      <c r="AC210" s="43"/>
      <c r="AD210" s="43"/>
      <c r="AE210" s="43"/>
      <c r="AF210" s="43"/>
      <c r="AG210" s="43"/>
      <c r="AH210" s="43"/>
      <c r="AI210" s="43"/>
      <c r="AJ210" s="43"/>
      <c r="AK210" s="43"/>
      <c r="AL210" s="43"/>
      <c r="AM210" s="43"/>
      <c r="AN210" s="43"/>
      <c r="AO210" s="43"/>
      <c r="AP210" s="43"/>
      <c r="AQ210" s="43"/>
      <c r="AR210" s="53"/>
      <c r="AS210" s="52"/>
      <c r="AT210" s="43"/>
      <c r="AU210" s="43"/>
      <c r="AV210" s="43"/>
      <c r="AW210" s="43"/>
      <c r="AX210" s="43"/>
      <c r="AY210" s="43"/>
      <c r="AZ210" s="43"/>
      <c r="BA210" s="43"/>
      <c r="BB210" s="43"/>
      <c r="BC210" s="43"/>
      <c r="BD210" s="43"/>
      <c r="BE210" s="43"/>
      <c r="BF210" s="43"/>
      <c r="BG210" s="43"/>
      <c r="BH210" s="43"/>
      <c r="BI210" s="43"/>
      <c r="BJ210" s="43"/>
      <c r="BK210" s="43"/>
      <c r="BL210" s="43"/>
      <c r="BM210" s="43"/>
      <c r="BN210" s="43"/>
      <c r="BO210" s="43"/>
      <c r="BP210" s="43"/>
      <c r="BQ210" s="43"/>
      <c r="BR210" s="43"/>
      <c r="BS210" s="43"/>
      <c r="BT210" s="43"/>
      <c r="BU210" s="43"/>
      <c r="BV210" s="43"/>
      <c r="BW210" s="53"/>
      <c r="BX210" s="30">
        <f t="shared" si="54"/>
        <v>0</v>
      </c>
      <c r="BY210" s="52">
        <f t="shared" si="51"/>
        <v>0</v>
      </c>
      <c r="BZ210" s="43">
        <f>E210</f>
        <v>14.71</v>
      </c>
      <c r="CA210" s="43"/>
      <c r="CB210" s="43"/>
      <c r="CC210" s="43"/>
      <c r="CD210" s="43"/>
      <c r="CE210" s="43"/>
      <c r="CF210" s="43"/>
      <c r="CG210" s="53"/>
      <c r="CH210" s="52"/>
      <c r="CI210" s="43"/>
      <c r="CJ210" s="43"/>
      <c r="CK210" s="43"/>
      <c r="CL210" s="43"/>
      <c r="CM210" s="43"/>
      <c r="CN210" s="43"/>
      <c r="CO210" s="43"/>
      <c r="CP210" s="43"/>
      <c r="CQ210" s="43"/>
      <c r="CR210" s="43"/>
      <c r="CS210" s="43"/>
      <c r="CT210" s="43"/>
      <c r="CU210" s="43"/>
      <c r="CV210" s="43"/>
      <c r="CW210" s="43"/>
      <c r="CX210" s="43"/>
      <c r="CY210" s="43"/>
      <c r="CZ210" s="7"/>
      <c r="DA210" s="7"/>
      <c r="DB210" s="43"/>
      <c r="DC210" s="43"/>
      <c r="DD210" s="53"/>
      <c r="DE210" s="73">
        <f t="shared" si="56"/>
        <v>0</v>
      </c>
      <c r="DG210" s="52"/>
      <c r="DH210" s="43"/>
      <c r="DI210" s="50">
        <f t="shared" si="57"/>
        <v>6628.0433333333322</v>
      </c>
      <c r="DK210" s="52"/>
      <c r="DL210" s="43"/>
      <c r="DM210" s="50">
        <f t="shared" si="58"/>
        <v>4432.51</v>
      </c>
      <c r="DO210" s="52"/>
      <c r="DP210" s="43"/>
      <c r="DQ210" s="50">
        <f t="shared" si="59"/>
        <v>7995.9800000000032</v>
      </c>
      <c r="DT210" s="52"/>
      <c r="DU210" s="43"/>
      <c r="DV210" s="50">
        <f t="shared" si="60"/>
        <v>518.17000000000007</v>
      </c>
      <c r="DX210" s="52"/>
      <c r="DY210" s="43"/>
      <c r="DZ210" s="53">
        <f t="shared" si="61"/>
        <v>617.75</v>
      </c>
      <c r="EB210" s="52"/>
      <c r="EC210" s="43"/>
      <c r="ED210" s="53">
        <f t="shared" si="62"/>
        <v>500</v>
      </c>
      <c r="EF210" s="52"/>
      <c r="EG210" s="43"/>
      <c r="EH210" s="53">
        <f t="shared" si="63"/>
        <v>1048.04</v>
      </c>
      <c r="EJ210" s="65"/>
      <c r="EK210" s="7"/>
      <c r="EL210" s="53">
        <f t="shared" si="64"/>
        <v>25.299999999999997</v>
      </c>
      <c r="EN210" s="51">
        <f t="shared" si="65"/>
        <v>-4047.7533333333085</v>
      </c>
      <c r="EP210" s="60">
        <f t="shared" si="66"/>
        <v>0</v>
      </c>
      <c r="EQ210" s="61">
        <f t="shared" si="67"/>
        <v>0</v>
      </c>
      <c r="ER210" s="15">
        <f t="shared" si="68"/>
        <v>0</v>
      </c>
      <c r="ES210" s="62">
        <f t="shared" si="53"/>
        <v>-14.71</v>
      </c>
      <c r="EU210" s="6">
        <v>202</v>
      </c>
    </row>
    <row r="211" spans="1:151" x14ac:dyDescent="0.45">
      <c r="A211" s="9">
        <v>45628</v>
      </c>
      <c r="B211" t="s">
        <v>907</v>
      </c>
      <c r="C211" s="3" t="s">
        <v>616</v>
      </c>
      <c r="D211" s="7"/>
      <c r="F211" s="7">
        <v>148</v>
      </c>
      <c r="G211" s="16">
        <f t="shared" si="55"/>
        <v>17570.040000000026</v>
      </c>
      <c r="H211" s="64" t="s">
        <v>625</v>
      </c>
      <c r="I211" s="52"/>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53"/>
      <c r="AS211" s="52"/>
      <c r="AT211" s="43"/>
      <c r="AU211" s="43"/>
      <c r="AV211" s="43"/>
      <c r="AW211" s="43"/>
      <c r="AX211" s="43"/>
      <c r="AY211" s="43"/>
      <c r="AZ211" s="43"/>
      <c r="BA211" s="43"/>
      <c r="BB211" s="43"/>
      <c r="BC211" s="43"/>
      <c r="BD211" s="43"/>
      <c r="BE211" s="43"/>
      <c r="BF211" s="43"/>
      <c r="BG211" s="43"/>
      <c r="BH211" s="43"/>
      <c r="BI211" s="43"/>
      <c r="BJ211" s="43"/>
      <c r="BK211" s="43"/>
      <c r="BL211" s="43"/>
      <c r="BM211" s="43"/>
      <c r="BN211" s="43"/>
      <c r="BO211" s="43"/>
      <c r="BP211" s="43"/>
      <c r="BQ211" s="43"/>
      <c r="BR211" s="43"/>
      <c r="BS211" s="43"/>
      <c r="BT211" s="43"/>
      <c r="BU211" s="43"/>
      <c r="BV211" s="43"/>
      <c r="BW211" s="53">
        <v>148</v>
      </c>
      <c r="BX211" s="30">
        <f t="shared" si="54"/>
        <v>0</v>
      </c>
      <c r="BY211" s="52">
        <f t="shared" si="51"/>
        <v>0</v>
      </c>
      <c r="BZ211" s="43"/>
      <c r="CA211" s="43"/>
      <c r="CB211" s="43"/>
      <c r="CC211" s="43"/>
      <c r="CD211" s="43"/>
      <c r="CE211" s="43"/>
      <c r="CF211" s="43"/>
      <c r="CG211" s="53"/>
      <c r="CH211" s="52"/>
      <c r="CI211" s="43"/>
      <c r="CJ211" s="43"/>
      <c r="CK211" s="43">
        <f>F211</f>
        <v>148</v>
      </c>
      <c r="CL211" s="43"/>
      <c r="CM211" s="43"/>
      <c r="CN211" s="43"/>
      <c r="CO211" s="43"/>
      <c r="CP211" s="43"/>
      <c r="CQ211" s="43"/>
      <c r="CR211" s="43"/>
      <c r="CS211" s="43"/>
      <c r="CT211" s="43"/>
      <c r="CU211" s="43"/>
      <c r="CV211" s="43"/>
      <c r="CW211" s="43"/>
      <c r="CX211" s="43"/>
      <c r="CY211" s="43"/>
      <c r="CZ211" s="7"/>
      <c r="DA211" s="7"/>
      <c r="DB211" s="43"/>
      <c r="DC211" s="43"/>
      <c r="DD211" s="53"/>
      <c r="DE211" s="73">
        <f t="shared" si="56"/>
        <v>0</v>
      </c>
      <c r="DG211" s="52"/>
      <c r="DH211" s="43"/>
      <c r="DI211" s="50">
        <f t="shared" si="57"/>
        <v>6628.0433333333322</v>
      </c>
      <c r="DK211" s="52"/>
      <c r="DL211" s="43"/>
      <c r="DM211" s="50">
        <f t="shared" si="58"/>
        <v>4432.51</v>
      </c>
      <c r="DO211" s="52"/>
      <c r="DP211" s="43"/>
      <c r="DQ211" s="50">
        <f t="shared" si="59"/>
        <v>7995.9800000000032</v>
      </c>
      <c r="DT211" s="52"/>
      <c r="DU211" s="43"/>
      <c r="DV211" s="50">
        <f t="shared" si="60"/>
        <v>518.17000000000007</v>
      </c>
      <c r="DX211" s="52"/>
      <c r="DY211" s="43"/>
      <c r="DZ211" s="53">
        <f t="shared" si="61"/>
        <v>617.75</v>
      </c>
      <c r="EB211" s="52"/>
      <c r="EC211" s="43"/>
      <c r="ED211" s="53">
        <f t="shared" si="62"/>
        <v>500</v>
      </c>
      <c r="EF211" s="52"/>
      <c r="EG211" s="43"/>
      <c r="EH211" s="53">
        <f t="shared" si="63"/>
        <v>1048.04</v>
      </c>
      <c r="EJ211" s="65"/>
      <c r="EK211" s="7"/>
      <c r="EL211" s="53">
        <f t="shared" si="64"/>
        <v>25.299999999999997</v>
      </c>
      <c r="EN211" s="51">
        <f t="shared" si="65"/>
        <v>-4195.7533333333085</v>
      </c>
      <c r="EP211" s="60">
        <f t="shared" si="66"/>
        <v>0</v>
      </c>
      <c r="EQ211" s="61">
        <f t="shared" si="67"/>
        <v>0</v>
      </c>
      <c r="ER211" s="15">
        <f t="shared" si="68"/>
        <v>0</v>
      </c>
      <c r="ES211" s="163">
        <f t="shared" si="53"/>
        <v>0</v>
      </c>
      <c r="EU211">
        <v>203</v>
      </c>
    </row>
    <row r="212" spans="1:151" x14ac:dyDescent="0.45">
      <c r="A212" s="9">
        <v>45628</v>
      </c>
      <c r="B212" t="s">
        <v>908</v>
      </c>
      <c r="C212" s="3" t="s">
        <v>615</v>
      </c>
      <c r="D212" s="7"/>
      <c r="F212" s="7">
        <v>184.03</v>
      </c>
      <c r="G212" s="16">
        <f t="shared" si="55"/>
        <v>17386.010000000028</v>
      </c>
      <c r="H212" s="64" t="s">
        <v>625</v>
      </c>
      <c r="I212" s="52"/>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53"/>
      <c r="AS212" s="52"/>
      <c r="AT212" s="43"/>
      <c r="AU212" s="43"/>
      <c r="AV212" s="43"/>
      <c r="AW212" s="43"/>
      <c r="AX212" s="43"/>
      <c r="AY212" s="43"/>
      <c r="AZ212" s="43"/>
      <c r="BA212" s="43"/>
      <c r="BB212" s="43">
        <v>184.03</v>
      </c>
      <c r="BC212" s="43"/>
      <c r="BD212" s="43"/>
      <c r="BE212" s="43"/>
      <c r="BF212" s="43"/>
      <c r="BG212" s="43"/>
      <c r="BH212" s="43"/>
      <c r="BI212" s="43"/>
      <c r="BJ212" s="43"/>
      <c r="BK212" s="43"/>
      <c r="BL212" s="43"/>
      <c r="BM212" s="43"/>
      <c r="BN212" s="43"/>
      <c r="BO212" s="43"/>
      <c r="BP212" s="43"/>
      <c r="BQ212" s="43"/>
      <c r="BR212" s="43"/>
      <c r="BS212" s="43"/>
      <c r="BT212" s="43"/>
      <c r="BU212" s="43"/>
      <c r="BV212" s="43"/>
      <c r="BW212" s="53"/>
      <c r="BX212" s="30">
        <f t="shared" si="54"/>
        <v>0</v>
      </c>
      <c r="BY212" s="52">
        <f t="shared" si="51"/>
        <v>0</v>
      </c>
      <c r="BZ212" s="43"/>
      <c r="CA212" s="43"/>
      <c r="CB212" s="43"/>
      <c r="CC212" s="43"/>
      <c r="CD212" s="43"/>
      <c r="CE212" s="43"/>
      <c r="CF212" s="43"/>
      <c r="CG212" s="53"/>
      <c r="CH212" s="52"/>
      <c r="CI212" s="43"/>
      <c r="CJ212" s="43"/>
      <c r="CK212" s="43"/>
      <c r="CL212" s="43"/>
      <c r="CM212" s="43"/>
      <c r="CN212" s="43"/>
      <c r="CO212" s="43"/>
      <c r="CP212" s="43">
        <f>F212</f>
        <v>184.03</v>
      </c>
      <c r="CQ212" s="43"/>
      <c r="CR212" s="43"/>
      <c r="CS212" s="43"/>
      <c r="CT212" s="43"/>
      <c r="CU212" s="43"/>
      <c r="CV212" s="43"/>
      <c r="CW212" s="43"/>
      <c r="CX212" s="43"/>
      <c r="CY212" s="43"/>
      <c r="CZ212" s="7"/>
      <c r="DA212" s="7"/>
      <c r="DB212" s="43"/>
      <c r="DC212" s="43"/>
      <c r="DD212" s="53"/>
      <c r="DE212" s="73">
        <f t="shared" si="56"/>
        <v>0</v>
      </c>
      <c r="DG212" s="52"/>
      <c r="DH212" s="43"/>
      <c r="DI212" s="50">
        <f t="shared" si="57"/>
        <v>6628.0433333333322</v>
      </c>
      <c r="DK212" s="52"/>
      <c r="DL212" s="43"/>
      <c r="DM212" s="50">
        <f t="shared" si="58"/>
        <v>4432.51</v>
      </c>
      <c r="DO212" s="52"/>
      <c r="DP212" s="43"/>
      <c r="DQ212" s="50">
        <f t="shared" si="59"/>
        <v>7995.9800000000032</v>
      </c>
      <c r="DT212" s="52"/>
      <c r="DU212" s="43"/>
      <c r="DV212" s="50">
        <f t="shared" si="60"/>
        <v>518.17000000000007</v>
      </c>
      <c r="DX212" s="52"/>
      <c r="DY212" s="43"/>
      <c r="DZ212" s="53">
        <f t="shared" si="61"/>
        <v>617.75</v>
      </c>
      <c r="EB212" s="52"/>
      <c r="EC212" s="43"/>
      <c r="ED212" s="53">
        <f t="shared" si="62"/>
        <v>500</v>
      </c>
      <c r="EF212" s="52"/>
      <c r="EG212" s="43"/>
      <c r="EH212" s="53">
        <f t="shared" si="63"/>
        <v>1048.04</v>
      </c>
      <c r="EJ212" s="65"/>
      <c r="EK212" s="7"/>
      <c r="EL212" s="53">
        <f t="shared" si="64"/>
        <v>25.299999999999997</v>
      </c>
      <c r="EN212" s="51">
        <f t="shared" si="65"/>
        <v>-4379.7833333333074</v>
      </c>
      <c r="EP212" s="60">
        <f t="shared" si="66"/>
        <v>0</v>
      </c>
      <c r="EQ212" s="61">
        <f t="shared" si="67"/>
        <v>0</v>
      </c>
      <c r="ER212" s="15">
        <f t="shared" si="68"/>
        <v>0</v>
      </c>
      <c r="ES212" s="62">
        <f t="shared" si="53"/>
        <v>0</v>
      </c>
      <c r="EU212" s="6">
        <v>204</v>
      </c>
    </row>
    <row r="213" spans="1:151" x14ac:dyDescent="0.45">
      <c r="A213" s="9">
        <v>45628</v>
      </c>
      <c r="B213" t="s">
        <v>909</v>
      </c>
      <c r="C213" s="4" t="s">
        <v>633</v>
      </c>
      <c r="D213" s="7"/>
      <c r="E213">
        <v>78.599999999999994</v>
      </c>
      <c r="F213" s="43"/>
      <c r="G213" s="16">
        <f t="shared" si="55"/>
        <v>17464.610000000026</v>
      </c>
      <c r="H213" s="64" t="s">
        <v>625</v>
      </c>
      <c r="I213" s="52"/>
      <c r="J213" s="43"/>
      <c r="K213" s="43"/>
      <c r="L213" s="43"/>
      <c r="M213" s="43"/>
      <c r="N213" s="43"/>
      <c r="O213" s="43"/>
      <c r="P213" s="43"/>
      <c r="Q213" s="43"/>
      <c r="R213" s="43"/>
      <c r="S213" s="43"/>
      <c r="T213" s="43"/>
      <c r="U213" s="43"/>
      <c r="V213" s="43"/>
      <c r="W213" s="43"/>
      <c r="X213" s="43"/>
      <c r="Y213" s="43"/>
      <c r="Z213" s="43"/>
      <c r="AA213" s="43"/>
      <c r="AB213" s="43">
        <v>78.599999999999994</v>
      </c>
      <c r="AC213" s="43"/>
      <c r="AD213" s="43"/>
      <c r="AE213" s="43"/>
      <c r="AF213" s="43"/>
      <c r="AG213" s="43"/>
      <c r="AH213" s="43"/>
      <c r="AI213" s="43"/>
      <c r="AJ213" s="43"/>
      <c r="AK213" s="43"/>
      <c r="AL213" s="43"/>
      <c r="AM213" s="43"/>
      <c r="AN213" s="43"/>
      <c r="AO213" s="43"/>
      <c r="AP213" s="43"/>
      <c r="AQ213" s="43"/>
      <c r="AR213" s="53"/>
      <c r="AS213" s="52"/>
      <c r="AT213" s="43"/>
      <c r="AU213" s="43"/>
      <c r="AV213" s="43"/>
      <c r="AW213" s="43"/>
      <c r="AX213" s="43"/>
      <c r="AY213" s="43"/>
      <c r="AZ213" s="43"/>
      <c r="BA213" s="43"/>
      <c r="BB213" s="43"/>
      <c r="BC213" s="43"/>
      <c r="BD213" s="43"/>
      <c r="BE213" s="43"/>
      <c r="BF213" s="43"/>
      <c r="BG213" s="43"/>
      <c r="BH213" s="43"/>
      <c r="BI213" s="43"/>
      <c r="BJ213" s="43"/>
      <c r="BK213" s="43"/>
      <c r="BL213" s="43"/>
      <c r="BM213" s="43"/>
      <c r="BN213" s="43"/>
      <c r="BO213" s="43"/>
      <c r="BP213" s="43"/>
      <c r="BQ213" s="43"/>
      <c r="BR213" s="43"/>
      <c r="BS213" s="43"/>
      <c r="BT213" s="43"/>
      <c r="BU213" s="43"/>
      <c r="BV213" s="43"/>
      <c r="BW213" s="53"/>
      <c r="BX213" s="30">
        <f t="shared" si="54"/>
        <v>0</v>
      </c>
      <c r="BY213" s="52">
        <f t="shared" si="51"/>
        <v>0</v>
      </c>
      <c r="BZ213" s="43"/>
      <c r="CA213" s="43"/>
      <c r="CB213" s="43"/>
      <c r="CC213" s="43"/>
      <c r="CD213" s="43"/>
      <c r="CE213" s="43"/>
      <c r="CF213" s="43"/>
      <c r="CG213" s="53">
        <f>E213</f>
        <v>78.599999999999994</v>
      </c>
      <c r="CH213" s="52"/>
      <c r="CI213" s="43"/>
      <c r="CJ213" s="43"/>
      <c r="CK213" s="43"/>
      <c r="CL213" s="43"/>
      <c r="CM213" s="43"/>
      <c r="CN213" s="43"/>
      <c r="CO213" s="43"/>
      <c r="CP213" s="43"/>
      <c r="CQ213" s="43"/>
      <c r="CR213" s="43"/>
      <c r="CS213" s="43"/>
      <c r="CT213" s="43"/>
      <c r="CU213" s="43"/>
      <c r="CV213" s="43"/>
      <c r="CW213" s="43"/>
      <c r="CX213" s="43"/>
      <c r="CY213" s="43"/>
      <c r="CZ213" s="7"/>
      <c r="DA213" s="7"/>
      <c r="DB213" s="43"/>
      <c r="DC213" s="43"/>
      <c r="DD213" s="53"/>
      <c r="DE213" s="73">
        <f t="shared" si="56"/>
        <v>0</v>
      </c>
      <c r="DG213" s="52"/>
      <c r="DH213" s="43"/>
      <c r="DI213" s="50">
        <f t="shared" si="57"/>
        <v>6628.0433333333322</v>
      </c>
      <c r="DK213" s="52"/>
      <c r="DL213" s="43"/>
      <c r="DM213" s="50">
        <f t="shared" si="58"/>
        <v>4432.51</v>
      </c>
      <c r="DO213" s="52"/>
      <c r="DP213" s="43"/>
      <c r="DQ213" s="50">
        <f t="shared" si="59"/>
        <v>7995.9800000000032</v>
      </c>
      <c r="DT213" s="52"/>
      <c r="DU213" s="43"/>
      <c r="DV213" s="50">
        <f t="shared" si="60"/>
        <v>518.17000000000007</v>
      </c>
      <c r="DX213" s="52"/>
      <c r="DY213" s="43"/>
      <c r="DZ213" s="53">
        <f t="shared" si="61"/>
        <v>617.75</v>
      </c>
      <c r="EB213" s="52"/>
      <c r="EC213" s="43"/>
      <c r="ED213" s="53">
        <f t="shared" si="62"/>
        <v>500</v>
      </c>
      <c r="EF213" s="52"/>
      <c r="EG213" s="43"/>
      <c r="EH213" s="53">
        <f t="shared" si="63"/>
        <v>1048.04</v>
      </c>
      <c r="EJ213" s="65"/>
      <c r="EK213" s="7"/>
      <c r="EL213" s="53">
        <f t="shared" si="64"/>
        <v>25.299999999999997</v>
      </c>
      <c r="EN213" s="51">
        <f t="shared" si="65"/>
        <v>-4301.1833333333088</v>
      </c>
      <c r="EP213" s="60">
        <f t="shared" si="66"/>
        <v>0</v>
      </c>
      <c r="EQ213" s="61">
        <f t="shared" si="67"/>
        <v>0</v>
      </c>
      <c r="ER213" s="15">
        <f t="shared" si="68"/>
        <v>0</v>
      </c>
      <c r="ES213" s="163">
        <f t="shared" si="53"/>
        <v>0</v>
      </c>
      <c r="EU213">
        <v>205</v>
      </c>
    </row>
    <row r="214" spans="1:151" x14ac:dyDescent="0.45">
      <c r="A214" s="9">
        <v>45628</v>
      </c>
      <c r="B214" t="s">
        <v>910</v>
      </c>
      <c r="C214" s="4" t="s">
        <v>633</v>
      </c>
      <c r="D214" s="7"/>
      <c r="E214">
        <v>29.42</v>
      </c>
      <c r="F214" s="43"/>
      <c r="G214" s="16">
        <f t="shared" si="55"/>
        <v>17494.030000000024</v>
      </c>
      <c r="H214" s="64" t="s">
        <v>625</v>
      </c>
      <c r="I214" s="52"/>
      <c r="J214" s="43"/>
      <c r="K214" s="43"/>
      <c r="L214" s="43"/>
      <c r="M214" s="43"/>
      <c r="N214" s="43"/>
      <c r="O214" s="43"/>
      <c r="P214" s="43"/>
      <c r="Q214" s="43"/>
      <c r="R214" s="43"/>
      <c r="S214" s="43"/>
      <c r="T214" s="43"/>
      <c r="U214" s="43"/>
      <c r="V214" s="43"/>
      <c r="W214" s="43"/>
      <c r="X214" s="43"/>
      <c r="Y214" s="43"/>
      <c r="Z214" s="43"/>
      <c r="AA214" s="43"/>
      <c r="AB214" s="43">
        <v>29.42</v>
      </c>
      <c r="AC214" s="43"/>
      <c r="AD214" s="43"/>
      <c r="AE214" s="43"/>
      <c r="AF214" s="43"/>
      <c r="AG214" s="43"/>
      <c r="AH214" s="43"/>
      <c r="AI214" s="43"/>
      <c r="AJ214" s="43"/>
      <c r="AK214" s="43"/>
      <c r="AL214" s="43"/>
      <c r="AM214" s="43"/>
      <c r="AN214" s="43"/>
      <c r="AO214" s="43"/>
      <c r="AP214" s="43"/>
      <c r="AQ214" s="43"/>
      <c r="AR214" s="53"/>
      <c r="AS214" s="52"/>
      <c r="AT214" s="43"/>
      <c r="AU214" s="43"/>
      <c r="AV214" s="43"/>
      <c r="AW214" s="43"/>
      <c r="AX214" s="43"/>
      <c r="AY214" s="43"/>
      <c r="AZ214" s="43"/>
      <c r="BA214" s="43"/>
      <c r="BB214" s="43"/>
      <c r="BC214" s="43"/>
      <c r="BD214" s="43"/>
      <c r="BE214" s="43"/>
      <c r="BF214" s="43"/>
      <c r="BG214" s="43"/>
      <c r="BH214" s="43"/>
      <c r="BI214" s="43"/>
      <c r="BJ214" s="43"/>
      <c r="BK214" s="43"/>
      <c r="BL214" s="43"/>
      <c r="BM214" s="43"/>
      <c r="BN214" s="43"/>
      <c r="BO214" s="43"/>
      <c r="BP214" s="43"/>
      <c r="BQ214" s="43"/>
      <c r="BR214" s="43"/>
      <c r="BS214" s="43"/>
      <c r="BT214" s="43"/>
      <c r="BU214" s="43"/>
      <c r="BV214" s="43"/>
      <c r="BW214" s="53"/>
      <c r="BX214" s="30">
        <f t="shared" si="54"/>
        <v>0</v>
      </c>
      <c r="BY214" s="52">
        <f t="shared" si="51"/>
        <v>0</v>
      </c>
      <c r="BZ214" s="43">
        <f>E214</f>
        <v>29.42</v>
      </c>
      <c r="CA214" s="43"/>
      <c r="CB214" s="43"/>
      <c r="CC214" s="43"/>
      <c r="CD214" s="43"/>
      <c r="CE214" s="43"/>
      <c r="CF214" s="43"/>
      <c r="CG214" s="53"/>
      <c r="CH214" s="52"/>
      <c r="CI214" s="43"/>
      <c r="CJ214" s="43"/>
      <c r="CK214" s="43"/>
      <c r="CL214" s="43"/>
      <c r="CM214" s="43"/>
      <c r="CN214" s="43"/>
      <c r="CO214" s="43"/>
      <c r="CP214" s="43"/>
      <c r="CQ214" s="43"/>
      <c r="CR214" s="43"/>
      <c r="CS214" s="43"/>
      <c r="CT214" s="43"/>
      <c r="CU214" s="43"/>
      <c r="CV214" s="43"/>
      <c r="CW214" s="43"/>
      <c r="CX214" s="43"/>
      <c r="CY214" s="43"/>
      <c r="CZ214" s="7"/>
      <c r="DA214" s="7"/>
      <c r="DB214" s="43"/>
      <c r="DC214" s="43"/>
      <c r="DD214" s="53"/>
      <c r="DE214" s="73">
        <f t="shared" si="56"/>
        <v>0</v>
      </c>
      <c r="DG214" s="52"/>
      <c r="DH214" s="43"/>
      <c r="DI214" s="50">
        <f t="shared" si="57"/>
        <v>6628.0433333333322</v>
      </c>
      <c r="DK214" s="52"/>
      <c r="DL214" s="43"/>
      <c r="DM214" s="50">
        <f t="shared" si="58"/>
        <v>4432.51</v>
      </c>
      <c r="DO214" s="52"/>
      <c r="DP214" s="43"/>
      <c r="DQ214" s="50">
        <f t="shared" si="59"/>
        <v>7995.9800000000032</v>
      </c>
      <c r="DT214" s="52"/>
      <c r="DU214" s="43"/>
      <c r="DV214" s="50">
        <f t="shared" si="60"/>
        <v>518.17000000000007</v>
      </c>
      <c r="DX214" s="52"/>
      <c r="DY214" s="43"/>
      <c r="DZ214" s="53">
        <f t="shared" si="61"/>
        <v>617.75</v>
      </c>
      <c r="EB214" s="52"/>
      <c r="EC214" s="43"/>
      <c r="ED214" s="53">
        <f t="shared" si="62"/>
        <v>500</v>
      </c>
      <c r="EF214" s="52"/>
      <c r="EG214" s="43"/>
      <c r="EH214" s="53">
        <f t="shared" si="63"/>
        <v>1048.04</v>
      </c>
      <c r="EJ214" s="65"/>
      <c r="EK214" s="7"/>
      <c r="EL214" s="53">
        <f t="shared" si="64"/>
        <v>25.299999999999997</v>
      </c>
      <c r="EN214" s="51">
        <f t="shared" si="65"/>
        <v>-4271.7633333333106</v>
      </c>
      <c r="EP214" s="60">
        <f t="shared" si="66"/>
        <v>0</v>
      </c>
      <c r="EQ214" s="61">
        <f t="shared" si="67"/>
        <v>0</v>
      </c>
      <c r="ER214" s="15">
        <f t="shared" si="68"/>
        <v>0</v>
      </c>
      <c r="ES214" s="62">
        <f t="shared" si="53"/>
        <v>-29.42</v>
      </c>
      <c r="EU214" s="6">
        <v>206</v>
      </c>
    </row>
    <row r="215" spans="1:151" x14ac:dyDescent="0.45">
      <c r="A215" s="9">
        <v>45628</v>
      </c>
      <c r="B215" t="s">
        <v>911</v>
      </c>
      <c r="C215" s="4" t="s">
        <v>633</v>
      </c>
      <c r="D215" s="7"/>
      <c r="E215">
        <v>171.94</v>
      </c>
      <c r="F215" s="43"/>
      <c r="G215" s="16">
        <f t="shared" si="55"/>
        <v>17665.970000000023</v>
      </c>
      <c r="H215" s="64" t="s">
        <v>625</v>
      </c>
      <c r="I215" s="52"/>
      <c r="J215" s="43"/>
      <c r="K215" s="43"/>
      <c r="L215" s="43"/>
      <c r="M215" s="43"/>
      <c r="N215" s="43"/>
      <c r="O215" s="43"/>
      <c r="P215" s="43"/>
      <c r="Q215" s="43"/>
      <c r="R215" s="43"/>
      <c r="S215" s="43"/>
      <c r="T215" s="43"/>
      <c r="U215" s="43"/>
      <c r="V215" s="43"/>
      <c r="W215" s="43"/>
      <c r="X215" s="43"/>
      <c r="Y215" s="43"/>
      <c r="Z215" s="43"/>
      <c r="AA215" s="43"/>
      <c r="AB215" s="43">
        <v>171.94</v>
      </c>
      <c r="AC215" s="43"/>
      <c r="AD215" s="43"/>
      <c r="AE215" s="43"/>
      <c r="AF215" s="43"/>
      <c r="AG215" s="43"/>
      <c r="AH215" s="43"/>
      <c r="AI215" s="43"/>
      <c r="AJ215" s="43"/>
      <c r="AK215" s="43"/>
      <c r="AL215" s="43"/>
      <c r="AM215" s="43"/>
      <c r="AN215" s="43"/>
      <c r="AO215" s="43"/>
      <c r="AP215" s="43"/>
      <c r="AQ215" s="43"/>
      <c r="AR215" s="53"/>
      <c r="AS215" s="52"/>
      <c r="AT215" s="43"/>
      <c r="AU215" s="43"/>
      <c r="AV215" s="43"/>
      <c r="AW215" s="43"/>
      <c r="AX215" s="43"/>
      <c r="AY215" s="43"/>
      <c r="AZ215" s="43"/>
      <c r="BA215" s="43"/>
      <c r="BB215" s="43"/>
      <c r="BC215" s="43"/>
      <c r="BD215" s="43"/>
      <c r="BE215" s="43"/>
      <c r="BF215" s="43"/>
      <c r="BG215" s="43"/>
      <c r="BH215" s="43"/>
      <c r="BI215" s="43"/>
      <c r="BJ215" s="43"/>
      <c r="BK215" s="43"/>
      <c r="BL215" s="43"/>
      <c r="BM215" s="43"/>
      <c r="BN215" s="43"/>
      <c r="BO215" s="43"/>
      <c r="BP215" s="43"/>
      <c r="BQ215" s="43"/>
      <c r="BR215" s="43"/>
      <c r="BS215" s="43"/>
      <c r="BT215" s="43"/>
      <c r="BU215" s="43"/>
      <c r="BV215" s="43"/>
      <c r="BW215" s="53"/>
      <c r="BX215" s="30">
        <f t="shared" si="54"/>
        <v>0</v>
      </c>
      <c r="BY215" s="52">
        <f t="shared" si="51"/>
        <v>0</v>
      </c>
      <c r="BZ215" s="43"/>
      <c r="CA215" s="43"/>
      <c r="CB215" s="43"/>
      <c r="CC215" s="43"/>
      <c r="CD215" s="43"/>
      <c r="CE215" s="43"/>
      <c r="CF215" s="43"/>
      <c r="CG215" s="53">
        <f>E215</f>
        <v>171.94</v>
      </c>
      <c r="CH215" s="52"/>
      <c r="CI215" s="43"/>
      <c r="CJ215" s="43"/>
      <c r="CK215" s="43"/>
      <c r="CL215" s="43"/>
      <c r="CM215" s="43"/>
      <c r="CN215" s="43"/>
      <c r="CO215" s="43"/>
      <c r="CP215" s="43"/>
      <c r="CQ215" s="43"/>
      <c r="CR215" s="43"/>
      <c r="CS215" s="43"/>
      <c r="CT215" s="43"/>
      <c r="CU215" s="43"/>
      <c r="CV215" s="43"/>
      <c r="CW215" s="43"/>
      <c r="CX215" s="43"/>
      <c r="CY215" s="43"/>
      <c r="CZ215" s="7"/>
      <c r="DA215" s="7"/>
      <c r="DB215" s="43"/>
      <c r="DC215" s="43"/>
      <c r="DD215" s="53"/>
      <c r="DE215" s="73">
        <f t="shared" si="56"/>
        <v>0</v>
      </c>
      <c r="DG215" s="52"/>
      <c r="DH215" s="43"/>
      <c r="DI215" s="50">
        <f t="shared" si="57"/>
        <v>6628.0433333333322</v>
      </c>
      <c r="DK215" s="52"/>
      <c r="DL215" s="43"/>
      <c r="DM215" s="50">
        <f t="shared" si="58"/>
        <v>4432.51</v>
      </c>
      <c r="DO215" s="52"/>
      <c r="DP215" s="43"/>
      <c r="DQ215" s="50">
        <f t="shared" si="59"/>
        <v>7995.9800000000032</v>
      </c>
      <c r="DT215" s="52"/>
      <c r="DU215" s="43"/>
      <c r="DV215" s="50">
        <f t="shared" si="60"/>
        <v>518.17000000000007</v>
      </c>
      <c r="DX215" s="52"/>
      <c r="DY215" s="43"/>
      <c r="DZ215" s="53">
        <f t="shared" si="61"/>
        <v>617.75</v>
      </c>
      <c r="EB215" s="52"/>
      <c r="EC215" s="43"/>
      <c r="ED215" s="53">
        <f t="shared" si="62"/>
        <v>500</v>
      </c>
      <c r="EF215" s="52"/>
      <c r="EG215" s="43"/>
      <c r="EH215" s="53">
        <f t="shared" si="63"/>
        <v>1048.04</v>
      </c>
      <c r="EJ215" s="65"/>
      <c r="EK215" s="7"/>
      <c r="EL215" s="53">
        <f t="shared" si="64"/>
        <v>25.299999999999997</v>
      </c>
      <c r="EN215" s="51">
        <f t="shared" si="65"/>
        <v>-4099.8233333333119</v>
      </c>
      <c r="EP215" s="60">
        <f t="shared" si="66"/>
        <v>0</v>
      </c>
      <c r="EQ215" s="61">
        <f t="shared" si="67"/>
        <v>0</v>
      </c>
      <c r="ER215" s="15">
        <f t="shared" si="68"/>
        <v>0</v>
      </c>
      <c r="ES215" s="163">
        <f t="shared" si="53"/>
        <v>0</v>
      </c>
      <c r="EU215">
        <v>207</v>
      </c>
    </row>
    <row r="216" spans="1:151" x14ac:dyDescent="0.45">
      <c r="A216" s="9">
        <v>45632</v>
      </c>
      <c r="B216" t="s">
        <v>912</v>
      </c>
      <c r="C216" s="4" t="s">
        <v>633</v>
      </c>
      <c r="D216" s="7"/>
      <c r="E216">
        <v>14.71</v>
      </c>
      <c r="F216" s="43"/>
      <c r="G216" s="16">
        <f t="shared" si="55"/>
        <v>17680.680000000022</v>
      </c>
      <c r="H216" s="64" t="s">
        <v>625</v>
      </c>
      <c r="I216" s="52"/>
      <c r="J216" s="43"/>
      <c r="K216" s="43"/>
      <c r="L216" s="43"/>
      <c r="M216" s="43"/>
      <c r="N216" s="43"/>
      <c r="O216" s="43"/>
      <c r="P216" s="43"/>
      <c r="Q216" s="43"/>
      <c r="R216" s="43"/>
      <c r="S216" s="43"/>
      <c r="T216" s="43"/>
      <c r="U216" s="43"/>
      <c r="V216" s="43"/>
      <c r="W216" s="43"/>
      <c r="X216" s="43"/>
      <c r="Y216" s="43"/>
      <c r="Z216" s="43"/>
      <c r="AA216" s="43"/>
      <c r="AB216" s="43">
        <v>14.71</v>
      </c>
      <c r="AC216" s="43"/>
      <c r="AD216" s="43"/>
      <c r="AE216" s="43"/>
      <c r="AF216" s="43"/>
      <c r="AG216" s="43"/>
      <c r="AH216" s="43"/>
      <c r="AI216" s="43"/>
      <c r="AJ216" s="43"/>
      <c r="AK216" s="43"/>
      <c r="AL216" s="43"/>
      <c r="AM216" s="43"/>
      <c r="AN216" s="43"/>
      <c r="AO216" s="43"/>
      <c r="AP216" s="43"/>
      <c r="AQ216" s="43"/>
      <c r="AR216" s="53"/>
      <c r="AS216" s="52"/>
      <c r="AT216" s="43"/>
      <c r="AU216" s="43"/>
      <c r="AV216" s="43"/>
      <c r="AW216" s="43"/>
      <c r="AX216" s="43"/>
      <c r="AY216" s="43"/>
      <c r="AZ216" s="43"/>
      <c r="BA216" s="43"/>
      <c r="BB216" s="43"/>
      <c r="BC216" s="43"/>
      <c r="BD216" s="43"/>
      <c r="BE216" s="43"/>
      <c r="BF216" s="43"/>
      <c r="BG216" s="43"/>
      <c r="BH216" s="43"/>
      <c r="BI216" s="43"/>
      <c r="BJ216" s="43"/>
      <c r="BK216" s="43"/>
      <c r="BL216" s="43"/>
      <c r="BM216" s="43"/>
      <c r="BN216" s="43"/>
      <c r="BO216" s="43"/>
      <c r="BP216" s="43"/>
      <c r="BQ216" s="43"/>
      <c r="BR216" s="43"/>
      <c r="BS216" s="43"/>
      <c r="BT216" s="43"/>
      <c r="BU216" s="43"/>
      <c r="BV216" s="43"/>
      <c r="BW216" s="53"/>
      <c r="BX216" s="30">
        <f t="shared" si="54"/>
        <v>0</v>
      </c>
      <c r="BY216" s="52">
        <f t="shared" si="51"/>
        <v>0</v>
      </c>
      <c r="BZ216" s="43">
        <f>E216</f>
        <v>14.71</v>
      </c>
      <c r="CA216" s="43"/>
      <c r="CB216" s="43"/>
      <c r="CC216" s="43"/>
      <c r="CD216" s="43"/>
      <c r="CE216" s="43"/>
      <c r="CF216" s="43"/>
      <c r="CG216" s="53"/>
      <c r="CH216" s="52"/>
      <c r="CI216" s="43"/>
      <c r="CJ216" s="43"/>
      <c r="CK216" s="43"/>
      <c r="CL216" s="43"/>
      <c r="CM216" s="43"/>
      <c r="CN216" s="43"/>
      <c r="CO216" s="43"/>
      <c r="CP216" s="43"/>
      <c r="CQ216" s="43"/>
      <c r="CR216" s="43"/>
      <c r="CS216" s="43"/>
      <c r="CT216" s="43"/>
      <c r="CU216" s="43"/>
      <c r="CV216" s="43"/>
      <c r="CW216" s="43"/>
      <c r="CX216" s="43"/>
      <c r="CY216" s="43"/>
      <c r="CZ216" s="7"/>
      <c r="DA216" s="7"/>
      <c r="DB216" s="43"/>
      <c r="DC216" s="43"/>
      <c r="DD216" s="53"/>
      <c r="DE216" s="73">
        <f t="shared" si="56"/>
        <v>0</v>
      </c>
      <c r="DG216" s="52"/>
      <c r="DH216" s="43"/>
      <c r="DI216" s="50">
        <f t="shared" si="57"/>
        <v>6628.0433333333322</v>
      </c>
      <c r="DK216" s="52"/>
      <c r="DL216" s="43"/>
      <c r="DM216" s="50">
        <f t="shared" si="58"/>
        <v>4432.51</v>
      </c>
      <c r="DO216" s="52"/>
      <c r="DP216" s="43"/>
      <c r="DQ216" s="50">
        <f t="shared" si="59"/>
        <v>7995.9800000000032</v>
      </c>
      <c r="DT216" s="52"/>
      <c r="DU216" s="43"/>
      <c r="DV216" s="50">
        <f t="shared" si="60"/>
        <v>518.17000000000007</v>
      </c>
      <c r="DX216" s="52"/>
      <c r="DY216" s="43"/>
      <c r="DZ216" s="53">
        <f t="shared" si="61"/>
        <v>617.75</v>
      </c>
      <c r="EB216" s="52"/>
      <c r="EC216" s="43"/>
      <c r="ED216" s="53">
        <f t="shared" si="62"/>
        <v>500</v>
      </c>
      <c r="EF216" s="52"/>
      <c r="EG216" s="43"/>
      <c r="EH216" s="53">
        <f t="shared" si="63"/>
        <v>1048.04</v>
      </c>
      <c r="EJ216" s="65"/>
      <c r="EK216" s="7"/>
      <c r="EL216" s="53">
        <f t="shared" si="64"/>
        <v>25.299999999999997</v>
      </c>
      <c r="EN216" s="51">
        <f t="shared" si="65"/>
        <v>-4085.1133333333128</v>
      </c>
      <c r="EP216" s="60">
        <f t="shared" si="66"/>
        <v>0</v>
      </c>
      <c r="EQ216" s="61">
        <f t="shared" si="67"/>
        <v>0</v>
      </c>
      <c r="ER216" s="15">
        <f t="shared" si="68"/>
        <v>0</v>
      </c>
      <c r="ES216" s="62">
        <f t="shared" si="53"/>
        <v>-14.71</v>
      </c>
      <c r="EU216" s="6">
        <v>208</v>
      </c>
    </row>
    <row r="217" spans="1:151" x14ac:dyDescent="0.45">
      <c r="A217" s="9">
        <v>45632</v>
      </c>
      <c r="B217" t="s">
        <v>913</v>
      </c>
      <c r="C217" s="4" t="s">
        <v>633</v>
      </c>
      <c r="D217" s="7"/>
      <c r="E217">
        <v>66.64</v>
      </c>
      <c r="F217" s="43"/>
      <c r="G217" s="16">
        <f t="shared" si="55"/>
        <v>17747.320000000022</v>
      </c>
      <c r="H217" s="64" t="s">
        <v>625</v>
      </c>
      <c r="I217" s="52"/>
      <c r="J217" s="43"/>
      <c r="K217" s="43"/>
      <c r="L217" s="43"/>
      <c r="M217" s="43"/>
      <c r="N217" s="43"/>
      <c r="O217" s="43"/>
      <c r="P217" s="43"/>
      <c r="Q217" s="43"/>
      <c r="R217" s="43"/>
      <c r="S217" s="43"/>
      <c r="T217" s="43"/>
      <c r="U217" s="43"/>
      <c r="V217" s="43"/>
      <c r="W217" s="43"/>
      <c r="X217" s="43"/>
      <c r="Y217" s="43"/>
      <c r="Z217" s="43"/>
      <c r="AA217" s="43"/>
      <c r="AB217" s="43">
        <v>66.64</v>
      </c>
      <c r="AC217" s="43"/>
      <c r="AD217" s="43"/>
      <c r="AE217" s="43"/>
      <c r="AF217" s="43"/>
      <c r="AG217" s="43"/>
      <c r="AH217" s="43"/>
      <c r="AI217" s="43"/>
      <c r="AJ217" s="43"/>
      <c r="AK217" s="43"/>
      <c r="AL217" s="43"/>
      <c r="AM217" s="43"/>
      <c r="AN217" s="43"/>
      <c r="AO217" s="43"/>
      <c r="AP217" s="43"/>
      <c r="AQ217" s="43"/>
      <c r="AR217" s="53"/>
      <c r="AS217" s="52"/>
      <c r="AT217" s="43"/>
      <c r="AU217" s="43"/>
      <c r="AV217" s="43"/>
      <c r="AW217" s="43"/>
      <c r="AX217" s="43"/>
      <c r="AY217" s="43"/>
      <c r="AZ217" s="43"/>
      <c r="BA217" s="43"/>
      <c r="BB217" s="43"/>
      <c r="BC217" s="43"/>
      <c r="BD217" s="43"/>
      <c r="BE217" s="43"/>
      <c r="BF217" s="43"/>
      <c r="BG217" s="43"/>
      <c r="BH217" s="43"/>
      <c r="BI217" s="43"/>
      <c r="BJ217" s="43"/>
      <c r="BK217" s="43"/>
      <c r="BL217" s="43"/>
      <c r="BM217" s="43"/>
      <c r="BN217" s="43"/>
      <c r="BO217" s="43"/>
      <c r="BP217" s="43"/>
      <c r="BQ217" s="43"/>
      <c r="BR217" s="43"/>
      <c r="BS217" s="43"/>
      <c r="BT217" s="43"/>
      <c r="BU217" s="43"/>
      <c r="BV217" s="43"/>
      <c r="BW217" s="53"/>
      <c r="BX217" s="30">
        <f t="shared" si="54"/>
        <v>0</v>
      </c>
      <c r="BY217" s="52">
        <f t="shared" si="51"/>
        <v>0</v>
      </c>
      <c r="BZ217" s="43">
        <f>E217</f>
        <v>66.64</v>
      </c>
      <c r="CA217" s="43"/>
      <c r="CB217" s="43"/>
      <c r="CC217" s="43"/>
      <c r="CD217" s="43"/>
      <c r="CE217" s="43"/>
      <c r="CF217" s="43"/>
      <c r="CG217" s="53"/>
      <c r="CH217" s="52"/>
      <c r="CI217" s="43"/>
      <c r="CJ217" s="43"/>
      <c r="CK217" s="43"/>
      <c r="CL217" s="43"/>
      <c r="CM217" s="43"/>
      <c r="CN217" s="43"/>
      <c r="CO217" s="43"/>
      <c r="CP217" s="43"/>
      <c r="CQ217" s="43"/>
      <c r="CR217" s="43"/>
      <c r="CS217" s="43"/>
      <c r="CT217" s="43"/>
      <c r="CU217" s="43"/>
      <c r="CV217" s="43"/>
      <c r="CW217" s="43"/>
      <c r="CX217" s="43"/>
      <c r="CY217" s="43"/>
      <c r="CZ217" s="7"/>
      <c r="DA217" s="7"/>
      <c r="DB217" s="43"/>
      <c r="DC217" s="43"/>
      <c r="DD217" s="53"/>
      <c r="DE217" s="73">
        <f t="shared" si="56"/>
        <v>0</v>
      </c>
      <c r="DG217" s="52"/>
      <c r="DH217" s="43"/>
      <c r="DI217" s="50">
        <f t="shared" si="57"/>
        <v>6628.0433333333322</v>
      </c>
      <c r="DK217" s="52"/>
      <c r="DL217" s="43"/>
      <c r="DM217" s="50">
        <f t="shared" si="58"/>
        <v>4432.51</v>
      </c>
      <c r="DO217" s="52"/>
      <c r="DP217" s="43"/>
      <c r="DQ217" s="50">
        <f t="shared" si="59"/>
        <v>7995.9800000000032</v>
      </c>
      <c r="DT217" s="52"/>
      <c r="DU217" s="43"/>
      <c r="DV217" s="50">
        <f t="shared" si="60"/>
        <v>518.17000000000007</v>
      </c>
      <c r="DX217" s="52"/>
      <c r="DY217" s="43"/>
      <c r="DZ217" s="53">
        <f t="shared" si="61"/>
        <v>617.75</v>
      </c>
      <c r="EB217" s="52"/>
      <c r="EC217" s="43"/>
      <c r="ED217" s="53">
        <f t="shared" si="62"/>
        <v>500</v>
      </c>
      <c r="EF217" s="52"/>
      <c r="EG217" s="43"/>
      <c r="EH217" s="53">
        <f t="shared" si="63"/>
        <v>1048.04</v>
      </c>
      <c r="EJ217" s="65"/>
      <c r="EK217" s="7"/>
      <c r="EL217" s="53">
        <f t="shared" si="64"/>
        <v>25.299999999999997</v>
      </c>
      <c r="EN217" s="51">
        <f t="shared" si="65"/>
        <v>-4018.4733333333133</v>
      </c>
      <c r="EP217" s="60">
        <f t="shared" si="66"/>
        <v>0</v>
      </c>
      <c r="EQ217" s="61">
        <f t="shared" si="67"/>
        <v>0</v>
      </c>
      <c r="ER217" s="15">
        <f t="shared" si="68"/>
        <v>0</v>
      </c>
      <c r="ES217" s="163">
        <f t="shared" si="53"/>
        <v>-66.64</v>
      </c>
      <c r="EU217">
        <v>209</v>
      </c>
    </row>
    <row r="218" spans="1:151" x14ac:dyDescent="0.45">
      <c r="A218" s="9">
        <v>45635</v>
      </c>
      <c r="B218" t="s">
        <v>914</v>
      </c>
      <c r="C218" s="223" t="s">
        <v>633</v>
      </c>
      <c r="D218" s="7"/>
      <c r="E218" s="7">
        <v>14.74</v>
      </c>
      <c r="F218" s="43"/>
      <c r="G218" s="16">
        <f t="shared" si="55"/>
        <v>17762.060000000023</v>
      </c>
      <c r="H218" s="64" t="s">
        <v>625</v>
      </c>
      <c r="I218" s="52"/>
      <c r="J218" s="43"/>
      <c r="K218" s="43"/>
      <c r="L218" s="43"/>
      <c r="M218" s="43"/>
      <c r="N218" s="43"/>
      <c r="O218" s="43"/>
      <c r="P218" s="43"/>
      <c r="Q218" s="43"/>
      <c r="R218" s="43"/>
      <c r="S218" s="43"/>
      <c r="T218" s="43"/>
      <c r="U218" s="43"/>
      <c r="V218" s="43"/>
      <c r="W218" s="43"/>
      <c r="X218" s="43"/>
      <c r="Y218" s="43"/>
      <c r="Z218" s="43"/>
      <c r="AA218" s="43"/>
      <c r="AB218" s="43">
        <v>14.74</v>
      </c>
      <c r="AC218" s="43"/>
      <c r="AD218" s="43"/>
      <c r="AE218" s="43"/>
      <c r="AF218" s="43"/>
      <c r="AG218" s="43"/>
      <c r="AH218" s="43"/>
      <c r="AI218" s="43"/>
      <c r="AJ218" s="43"/>
      <c r="AK218" s="43"/>
      <c r="AL218" s="43"/>
      <c r="AM218" s="43"/>
      <c r="AN218" s="43"/>
      <c r="AO218" s="43"/>
      <c r="AP218" s="43"/>
      <c r="AQ218" s="43"/>
      <c r="AR218" s="53"/>
      <c r="AS218" s="52"/>
      <c r="AT218" s="43"/>
      <c r="AU218" s="43"/>
      <c r="AV218" s="43"/>
      <c r="AW218" s="43"/>
      <c r="AX218" s="43"/>
      <c r="AY218" s="43"/>
      <c r="AZ218" s="43"/>
      <c r="BA218" s="43"/>
      <c r="BB218" s="43"/>
      <c r="BC218" s="43"/>
      <c r="BD218" s="43"/>
      <c r="BE218" s="43"/>
      <c r="BF218" s="43"/>
      <c r="BG218" s="43"/>
      <c r="BH218" s="43"/>
      <c r="BI218" s="43"/>
      <c r="BJ218" s="43"/>
      <c r="BK218" s="43"/>
      <c r="BL218" s="43"/>
      <c r="BM218" s="43"/>
      <c r="BN218" s="43"/>
      <c r="BO218" s="43"/>
      <c r="BP218" s="43"/>
      <c r="BQ218" s="43"/>
      <c r="BR218" s="43"/>
      <c r="BS218" s="43"/>
      <c r="BT218" s="43"/>
      <c r="BU218" s="43"/>
      <c r="BV218" s="43"/>
      <c r="BW218" s="53"/>
      <c r="BX218" s="30">
        <f t="shared" si="54"/>
        <v>0</v>
      </c>
      <c r="BY218" s="52">
        <f t="shared" si="51"/>
        <v>0</v>
      </c>
      <c r="BZ218" s="43"/>
      <c r="CA218" s="43"/>
      <c r="CB218" s="43"/>
      <c r="CC218" s="43"/>
      <c r="CD218" s="43"/>
      <c r="CE218" s="43"/>
      <c r="CF218" s="43"/>
      <c r="CG218" s="53">
        <f>E218</f>
        <v>14.74</v>
      </c>
      <c r="CH218" s="52"/>
      <c r="CI218" s="43"/>
      <c r="CJ218" s="43"/>
      <c r="CK218" s="43"/>
      <c r="CL218" s="43"/>
      <c r="CM218" s="43"/>
      <c r="CN218" s="43"/>
      <c r="CO218" s="43"/>
      <c r="CP218" s="43"/>
      <c r="CQ218" s="43"/>
      <c r="CR218" s="43"/>
      <c r="CS218" s="43"/>
      <c r="CT218" s="43"/>
      <c r="CU218" s="43"/>
      <c r="CV218" s="43"/>
      <c r="CW218" s="43"/>
      <c r="CX218" s="43"/>
      <c r="CY218" s="43"/>
      <c r="CZ218" s="7"/>
      <c r="DA218" s="7"/>
      <c r="DB218" s="43"/>
      <c r="DC218" s="43"/>
      <c r="DD218" s="53"/>
      <c r="DE218" s="73">
        <f t="shared" si="56"/>
        <v>0</v>
      </c>
      <c r="DG218" s="52"/>
      <c r="DH218" s="43"/>
      <c r="DI218" s="50">
        <f t="shared" si="57"/>
        <v>6628.0433333333322</v>
      </c>
      <c r="DK218" s="52"/>
      <c r="DL218" s="43"/>
      <c r="DM218" s="50">
        <f t="shared" si="58"/>
        <v>4432.51</v>
      </c>
      <c r="DO218" s="52"/>
      <c r="DP218" s="43"/>
      <c r="DQ218" s="50">
        <f t="shared" si="59"/>
        <v>7995.9800000000032</v>
      </c>
      <c r="DT218" s="52"/>
      <c r="DU218" s="43"/>
      <c r="DV218" s="50">
        <f t="shared" si="60"/>
        <v>518.17000000000007</v>
      </c>
      <c r="DX218" s="52"/>
      <c r="DY218" s="43"/>
      <c r="DZ218" s="53">
        <f t="shared" si="61"/>
        <v>617.75</v>
      </c>
      <c r="EB218" s="52"/>
      <c r="EC218" s="43"/>
      <c r="ED218" s="53">
        <f t="shared" si="62"/>
        <v>500</v>
      </c>
      <c r="EF218" s="52"/>
      <c r="EG218" s="43"/>
      <c r="EH218" s="53">
        <f t="shared" si="63"/>
        <v>1048.04</v>
      </c>
      <c r="EJ218" s="65"/>
      <c r="EK218" s="7"/>
      <c r="EL218" s="53">
        <f t="shared" si="64"/>
        <v>25.299999999999997</v>
      </c>
      <c r="EN218" s="51">
        <f t="shared" si="65"/>
        <v>-4003.7333333333117</v>
      </c>
      <c r="EP218" s="60">
        <f t="shared" si="66"/>
        <v>0</v>
      </c>
      <c r="EQ218" s="61">
        <f t="shared" si="67"/>
        <v>0</v>
      </c>
      <c r="ER218" s="15">
        <f t="shared" si="68"/>
        <v>0</v>
      </c>
      <c r="ES218" s="62">
        <f t="shared" ref="ES218:ES249" si="69">+X218+Y218+Z218+AA218-BZ218-CA218-CB218-CC218</f>
        <v>0</v>
      </c>
      <c r="EU218" s="6">
        <v>210</v>
      </c>
    </row>
    <row r="219" spans="1:151" x14ac:dyDescent="0.45">
      <c r="A219" s="9">
        <v>45635</v>
      </c>
      <c r="B219" t="s">
        <v>915</v>
      </c>
      <c r="C219" s="223" t="s">
        <v>633</v>
      </c>
      <c r="D219" s="7"/>
      <c r="E219">
        <v>25</v>
      </c>
      <c r="F219" s="43"/>
      <c r="G219" s="16">
        <f t="shared" si="55"/>
        <v>17787.060000000023</v>
      </c>
      <c r="H219" s="64" t="s">
        <v>625</v>
      </c>
      <c r="I219" s="52"/>
      <c r="J219" s="43"/>
      <c r="K219" s="43"/>
      <c r="L219" s="43"/>
      <c r="M219" s="43"/>
      <c r="N219" s="43"/>
      <c r="O219" s="43"/>
      <c r="P219" s="43"/>
      <c r="Q219" s="43"/>
      <c r="R219" s="43"/>
      <c r="S219" s="43"/>
      <c r="T219" s="43"/>
      <c r="U219" s="43"/>
      <c r="V219" s="43">
        <v>25</v>
      </c>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53"/>
      <c r="AS219" s="52"/>
      <c r="AT219" s="43"/>
      <c r="AU219" s="43"/>
      <c r="AV219" s="43"/>
      <c r="AW219" s="43"/>
      <c r="AX219" s="43"/>
      <c r="AY219" s="43"/>
      <c r="AZ219" s="43"/>
      <c r="BA219" s="43"/>
      <c r="BB219" s="43"/>
      <c r="BC219" s="43"/>
      <c r="BD219" s="43"/>
      <c r="BE219" s="43"/>
      <c r="BF219" s="43"/>
      <c r="BG219" s="43"/>
      <c r="BH219" s="43"/>
      <c r="BI219" s="43"/>
      <c r="BJ219" s="43"/>
      <c r="BK219" s="43"/>
      <c r="BL219" s="43"/>
      <c r="BM219" s="43"/>
      <c r="BN219" s="43"/>
      <c r="BO219" s="43"/>
      <c r="BP219" s="43"/>
      <c r="BQ219" s="43"/>
      <c r="BR219" s="43"/>
      <c r="BS219" s="43"/>
      <c r="BT219" s="43"/>
      <c r="BU219" s="43"/>
      <c r="BV219" s="43"/>
      <c r="BW219" s="53"/>
      <c r="BX219" s="30">
        <f t="shared" si="54"/>
        <v>0</v>
      </c>
      <c r="BY219" s="52">
        <f t="shared" si="51"/>
        <v>0</v>
      </c>
      <c r="BZ219" s="43"/>
      <c r="CA219" s="43"/>
      <c r="CB219" s="43"/>
      <c r="CC219" s="43"/>
      <c r="CD219" s="43"/>
      <c r="CE219" s="43"/>
      <c r="CF219" s="43"/>
      <c r="CG219" s="53">
        <f>E219</f>
        <v>25</v>
      </c>
      <c r="CH219" s="52"/>
      <c r="CI219" s="43"/>
      <c r="CJ219" s="43"/>
      <c r="CK219" s="43"/>
      <c r="CL219" s="43"/>
      <c r="CM219" s="43"/>
      <c r="CN219" s="43"/>
      <c r="CO219" s="43"/>
      <c r="CP219" s="43"/>
      <c r="CQ219" s="43"/>
      <c r="CR219" s="43"/>
      <c r="CS219" s="43"/>
      <c r="CT219" s="43"/>
      <c r="CU219" s="43"/>
      <c r="CV219" s="43"/>
      <c r="CW219" s="43"/>
      <c r="CX219" s="43"/>
      <c r="CY219" s="43"/>
      <c r="CZ219" s="7"/>
      <c r="DA219" s="7"/>
      <c r="DB219" s="43"/>
      <c r="DC219" s="43"/>
      <c r="DD219" s="53"/>
      <c r="DE219" s="73">
        <f t="shared" si="56"/>
        <v>0</v>
      </c>
      <c r="DG219" s="52"/>
      <c r="DH219" s="43"/>
      <c r="DI219" s="50">
        <f t="shared" si="57"/>
        <v>6628.0433333333322</v>
      </c>
      <c r="DK219" s="52"/>
      <c r="DL219" s="43"/>
      <c r="DM219" s="50">
        <f t="shared" si="58"/>
        <v>4432.51</v>
      </c>
      <c r="DO219" s="52"/>
      <c r="DP219" s="43"/>
      <c r="DQ219" s="50">
        <f t="shared" si="59"/>
        <v>7995.9800000000032</v>
      </c>
      <c r="DT219" s="52"/>
      <c r="DU219" s="43"/>
      <c r="DV219" s="50">
        <f t="shared" si="60"/>
        <v>518.17000000000007</v>
      </c>
      <c r="DX219" s="52"/>
      <c r="DY219" s="43"/>
      <c r="DZ219" s="53">
        <f t="shared" si="61"/>
        <v>617.75</v>
      </c>
      <c r="EB219" s="52"/>
      <c r="EC219" s="43"/>
      <c r="ED219" s="53">
        <f t="shared" si="62"/>
        <v>500</v>
      </c>
      <c r="EF219" s="52"/>
      <c r="EG219" s="43"/>
      <c r="EH219" s="53">
        <f t="shared" si="63"/>
        <v>1048.04</v>
      </c>
      <c r="EJ219" s="65"/>
      <c r="EK219" s="7"/>
      <c r="EL219" s="53">
        <f t="shared" si="64"/>
        <v>25.299999999999997</v>
      </c>
      <c r="EN219" s="51">
        <f t="shared" si="65"/>
        <v>-3978.7333333333117</v>
      </c>
      <c r="EP219" s="60">
        <f t="shared" si="66"/>
        <v>0</v>
      </c>
      <c r="EQ219" s="61">
        <f t="shared" si="67"/>
        <v>0</v>
      </c>
      <c r="ER219" s="15">
        <f t="shared" si="68"/>
        <v>0</v>
      </c>
      <c r="ES219" s="163">
        <f t="shared" si="69"/>
        <v>0</v>
      </c>
      <c r="EU219">
        <v>211</v>
      </c>
    </row>
    <row r="220" spans="1:151" x14ac:dyDescent="0.45">
      <c r="A220" s="9">
        <v>45636</v>
      </c>
      <c r="B220" t="s">
        <v>916</v>
      </c>
      <c r="C220" s="10" t="s">
        <v>638</v>
      </c>
      <c r="D220" s="7"/>
      <c r="F220" s="43">
        <v>70</v>
      </c>
      <c r="G220" s="16">
        <f t="shared" si="55"/>
        <v>17717.060000000023</v>
      </c>
      <c r="H220" s="64" t="s">
        <v>625</v>
      </c>
      <c r="I220" s="52"/>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53"/>
      <c r="AS220" s="52"/>
      <c r="AT220" s="43"/>
      <c r="AU220" s="43"/>
      <c r="AV220" s="43"/>
      <c r="AW220" s="43"/>
      <c r="AX220" s="43"/>
      <c r="AY220" s="43"/>
      <c r="AZ220" s="43"/>
      <c r="BA220" s="43"/>
      <c r="BB220" s="43">
        <v>70</v>
      </c>
      <c r="BC220" s="43"/>
      <c r="BD220" s="43"/>
      <c r="BE220" s="43"/>
      <c r="BF220" s="43"/>
      <c r="BG220" s="43"/>
      <c r="BH220" s="43"/>
      <c r="BI220" s="43"/>
      <c r="BJ220" s="43"/>
      <c r="BK220" s="43"/>
      <c r="BL220" s="43"/>
      <c r="BM220" s="43"/>
      <c r="BN220" s="43"/>
      <c r="BO220" s="43"/>
      <c r="BP220" s="43"/>
      <c r="BQ220" s="43"/>
      <c r="BR220" s="43"/>
      <c r="BS220" s="43"/>
      <c r="BT220" s="43"/>
      <c r="BU220" s="43"/>
      <c r="BV220" s="43"/>
      <c r="BW220" s="53"/>
      <c r="BX220" s="30">
        <f t="shared" si="54"/>
        <v>0</v>
      </c>
      <c r="BY220" s="52">
        <f t="shared" si="51"/>
        <v>0</v>
      </c>
      <c r="BZ220" s="43"/>
      <c r="CA220" s="43"/>
      <c r="CB220" s="43"/>
      <c r="CC220" s="43"/>
      <c r="CD220" s="43"/>
      <c r="CE220" s="43"/>
      <c r="CF220" s="43"/>
      <c r="CG220" s="53"/>
      <c r="CH220" s="52"/>
      <c r="CI220" s="43"/>
      <c r="CJ220" s="43"/>
      <c r="CK220" s="43"/>
      <c r="CL220" s="43"/>
      <c r="CM220" s="43"/>
      <c r="CN220" s="43"/>
      <c r="CO220" s="43"/>
      <c r="CP220" s="43"/>
      <c r="CQ220" s="43"/>
      <c r="CR220" s="43"/>
      <c r="CS220" s="43"/>
      <c r="CT220" s="43"/>
      <c r="CU220" s="43"/>
      <c r="CV220" s="43"/>
      <c r="CW220" s="43"/>
      <c r="CX220" s="43">
        <f>F220</f>
        <v>70</v>
      </c>
      <c r="CY220" s="43"/>
      <c r="CZ220" s="7"/>
      <c r="DA220" s="7"/>
      <c r="DB220" s="43"/>
      <c r="DC220" s="43"/>
      <c r="DD220" s="53"/>
      <c r="DE220" s="73">
        <f t="shared" si="56"/>
        <v>0</v>
      </c>
      <c r="DG220" s="52"/>
      <c r="DH220" s="43"/>
      <c r="DI220" s="50">
        <f t="shared" si="57"/>
        <v>6628.0433333333322</v>
      </c>
      <c r="DK220" s="52"/>
      <c r="DL220" s="43"/>
      <c r="DM220" s="50">
        <f t="shared" si="58"/>
        <v>4432.51</v>
      </c>
      <c r="DO220" s="52"/>
      <c r="DP220" s="43"/>
      <c r="DQ220" s="50">
        <f t="shared" si="59"/>
        <v>7995.9800000000032</v>
      </c>
      <c r="DT220" s="52"/>
      <c r="DU220" s="43"/>
      <c r="DV220" s="50">
        <f t="shared" si="60"/>
        <v>518.17000000000007</v>
      </c>
      <c r="DX220" s="52"/>
      <c r="DY220" s="43"/>
      <c r="DZ220" s="53">
        <f t="shared" si="61"/>
        <v>617.75</v>
      </c>
      <c r="EB220" s="52"/>
      <c r="EC220" s="43"/>
      <c r="ED220" s="53">
        <f t="shared" si="62"/>
        <v>500</v>
      </c>
      <c r="EF220" s="52"/>
      <c r="EG220" s="43"/>
      <c r="EH220" s="53">
        <f t="shared" si="63"/>
        <v>1048.04</v>
      </c>
      <c r="EJ220" s="65"/>
      <c r="EK220" s="7"/>
      <c r="EL220" s="53">
        <f t="shared" si="64"/>
        <v>25.299999999999997</v>
      </c>
      <c r="EN220" s="51">
        <f t="shared" si="65"/>
        <v>-4048.7333333333117</v>
      </c>
      <c r="EP220" s="60">
        <f t="shared" si="66"/>
        <v>0</v>
      </c>
      <c r="EQ220" s="61">
        <f t="shared" si="67"/>
        <v>0</v>
      </c>
      <c r="ER220" s="15">
        <f t="shared" si="68"/>
        <v>0</v>
      </c>
      <c r="ES220" s="62">
        <f t="shared" si="69"/>
        <v>0</v>
      </c>
      <c r="EU220" s="6">
        <v>212</v>
      </c>
    </row>
    <row r="221" spans="1:151" x14ac:dyDescent="0.45">
      <c r="A221" s="9">
        <v>45639</v>
      </c>
      <c r="B221" t="s">
        <v>917</v>
      </c>
      <c r="C221" s="10" t="s">
        <v>999</v>
      </c>
      <c r="D221" s="7"/>
      <c r="E221" s="7">
        <v>200</v>
      </c>
      <c r="G221" s="16">
        <f t="shared" si="55"/>
        <v>17917.060000000023</v>
      </c>
      <c r="H221" s="64" t="s">
        <v>625</v>
      </c>
      <c r="I221" s="52"/>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v>200</v>
      </c>
      <c r="AR221" s="53"/>
      <c r="AS221" s="52"/>
      <c r="AT221" s="43"/>
      <c r="AU221" s="43"/>
      <c r="AV221" s="43"/>
      <c r="AW221" s="43"/>
      <c r="AX221" s="43"/>
      <c r="AY221" s="43"/>
      <c r="AZ221" s="43"/>
      <c r="BA221" s="43"/>
      <c r="BB221" s="43"/>
      <c r="BC221" s="43"/>
      <c r="BD221" s="43"/>
      <c r="BE221" s="43"/>
      <c r="BF221" s="43"/>
      <c r="BG221" s="43"/>
      <c r="BH221" s="43"/>
      <c r="BI221" s="43"/>
      <c r="BJ221" s="43"/>
      <c r="BK221" s="43"/>
      <c r="BL221" s="43"/>
      <c r="BM221" s="43"/>
      <c r="BN221" s="43"/>
      <c r="BO221" s="43"/>
      <c r="BP221" s="43"/>
      <c r="BQ221" s="43"/>
      <c r="BR221" s="43"/>
      <c r="BS221" s="43"/>
      <c r="BT221" s="43"/>
      <c r="BU221" s="43"/>
      <c r="BV221" s="43"/>
      <c r="BW221" s="53"/>
      <c r="BX221" s="30">
        <f t="shared" si="54"/>
        <v>0</v>
      </c>
      <c r="BY221" s="52">
        <f>E221</f>
        <v>200</v>
      </c>
      <c r="BZ221" s="43"/>
      <c r="CA221" s="43"/>
      <c r="CB221" s="43"/>
      <c r="CC221" s="43"/>
      <c r="CD221" s="43"/>
      <c r="CE221" s="43"/>
      <c r="CF221" s="43"/>
      <c r="CG221" s="53"/>
      <c r="CH221" s="52"/>
      <c r="CI221" s="43"/>
      <c r="CJ221" s="43"/>
      <c r="CK221" s="43"/>
      <c r="CL221" s="43"/>
      <c r="CM221" s="43"/>
      <c r="CN221" s="43"/>
      <c r="CO221" s="43"/>
      <c r="CP221" s="43"/>
      <c r="CQ221" s="43"/>
      <c r="CR221" s="43"/>
      <c r="CS221" s="43"/>
      <c r="CT221" s="43"/>
      <c r="CU221" s="43"/>
      <c r="CV221" s="43"/>
      <c r="CW221" s="43"/>
      <c r="CX221" s="43"/>
      <c r="CY221" s="43"/>
      <c r="CZ221" s="7"/>
      <c r="DA221" s="7"/>
      <c r="DB221" s="43"/>
      <c r="DC221" s="43"/>
      <c r="DD221" s="53"/>
      <c r="DE221" s="73">
        <f t="shared" si="56"/>
        <v>0</v>
      </c>
      <c r="DG221" s="52"/>
      <c r="DH221" s="43"/>
      <c r="DI221" s="50">
        <f t="shared" si="57"/>
        <v>6628.0433333333322</v>
      </c>
      <c r="DK221" s="52"/>
      <c r="DL221" s="43"/>
      <c r="DM221" s="50">
        <f t="shared" si="58"/>
        <v>4432.51</v>
      </c>
      <c r="DO221" s="52"/>
      <c r="DP221" s="43"/>
      <c r="DQ221" s="50">
        <f t="shared" si="59"/>
        <v>7995.9800000000032</v>
      </c>
      <c r="DT221" s="52"/>
      <c r="DU221" s="43"/>
      <c r="DV221" s="50">
        <f t="shared" si="60"/>
        <v>518.17000000000007</v>
      </c>
      <c r="DX221" s="52"/>
      <c r="DY221" s="43"/>
      <c r="DZ221" s="53">
        <f t="shared" si="61"/>
        <v>617.75</v>
      </c>
      <c r="EB221" s="52"/>
      <c r="EC221" s="43"/>
      <c r="ED221" s="53">
        <f t="shared" si="62"/>
        <v>500</v>
      </c>
      <c r="EF221" s="52"/>
      <c r="EG221" s="43"/>
      <c r="EH221" s="53">
        <f t="shared" si="63"/>
        <v>1048.04</v>
      </c>
      <c r="EJ221" s="65"/>
      <c r="EK221" s="7"/>
      <c r="EL221" s="53">
        <f t="shared" si="64"/>
        <v>25.299999999999997</v>
      </c>
      <c r="EN221" s="51">
        <f t="shared" si="65"/>
        <v>-3848.7333333333117</v>
      </c>
      <c r="EP221" s="60">
        <f t="shared" si="66"/>
        <v>0</v>
      </c>
      <c r="EQ221" s="61">
        <f t="shared" si="67"/>
        <v>0</v>
      </c>
      <c r="ER221" s="15">
        <f t="shared" si="68"/>
        <v>0</v>
      </c>
      <c r="ES221" s="163">
        <f t="shared" si="69"/>
        <v>0</v>
      </c>
      <c r="EU221">
        <v>213</v>
      </c>
    </row>
    <row r="222" spans="1:151" x14ac:dyDescent="0.45">
      <c r="A222" s="9">
        <v>45639</v>
      </c>
      <c r="B222" t="s">
        <v>917</v>
      </c>
      <c r="C222" s="10" t="s">
        <v>999</v>
      </c>
      <c r="D222" s="7"/>
      <c r="E222" s="7">
        <v>587.54999999999995</v>
      </c>
      <c r="G222" s="16">
        <f t="shared" si="55"/>
        <v>18504.610000000022</v>
      </c>
      <c r="H222" s="64" t="s">
        <v>625</v>
      </c>
      <c r="I222" s="52"/>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v>587.54999999999995</v>
      </c>
      <c r="AR222" s="53"/>
      <c r="AS222" s="52"/>
      <c r="AT222" s="43"/>
      <c r="AU222" s="43"/>
      <c r="AV222" s="43"/>
      <c r="AW222" s="43"/>
      <c r="AX222" s="43"/>
      <c r="AY222" s="43"/>
      <c r="AZ222" s="43"/>
      <c r="BA222" s="43"/>
      <c r="BB222" s="43"/>
      <c r="BC222" s="43"/>
      <c r="BD222" s="43"/>
      <c r="BE222" s="43"/>
      <c r="BF222" s="43"/>
      <c r="BG222" s="43"/>
      <c r="BH222" s="43"/>
      <c r="BI222" s="43"/>
      <c r="BJ222" s="43"/>
      <c r="BK222" s="43"/>
      <c r="BL222" s="43"/>
      <c r="BM222" s="43"/>
      <c r="BN222" s="43"/>
      <c r="BO222" s="43"/>
      <c r="BP222" s="43"/>
      <c r="BQ222" s="43"/>
      <c r="BR222" s="43"/>
      <c r="BS222" s="43"/>
      <c r="BT222" s="43"/>
      <c r="BU222" s="43"/>
      <c r="BV222" s="43"/>
      <c r="BW222" s="53"/>
      <c r="BX222" s="30">
        <f t="shared" si="54"/>
        <v>0</v>
      </c>
      <c r="BY222" s="52">
        <f>E222</f>
        <v>587.54999999999995</v>
      </c>
      <c r="BZ222" s="43"/>
      <c r="CA222" s="43"/>
      <c r="CB222" s="43"/>
      <c r="CC222" s="43"/>
      <c r="CD222" s="43"/>
      <c r="CE222" s="43"/>
      <c r="CF222" s="43"/>
      <c r="CG222" s="53"/>
      <c r="CH222" s="52"/>
      <c r="CI222" s="43"/>
      <c r="CJ222" s="43"/>
      <c r="CK222" s="43"/>
      <c r="CL222" s="43"/>
      <c r="CM222" s="43"/>
      <c r="CN222" s="43"/>
      <c r="CO222" s="43"/>
      <c r="CP222" s="43"/>
      <c r="CQ222" s="43"/>
      <c r="CR222" s="43"/>
      <c r="CS222" s="43"/>
      <c r="CT222" s="43"/>
      <c r="CU222" s="43"/>
      <c r="CV222" s="43"/>
      <c r="CW222" s="43"/>
      <c r="CX222" s="43"/>
      <c r="CY222" s="43"/>
      <c r="CZ222" s="7"/>
      <c r="DA222" s="7"/>
      <c r="DB222" s="43"/>
      <c r="DC222" s="43"/>
      <c r="DD222" s="53"/>
      <c r="DE222" s="73">
        <f t="shared" si="56"/>
        <v>0</v>
      </c>
      <c r="DG222" s="52"/>
      <c r="DH222" s="43"/>
      <c r="DI222" s="50">
        <f t="shared" si="57"/>
        <v>6628.0433333333322</v>
      </c>
      <c r="DK222" s="52"/>
      <c r="DL222" s="43"/>
      <c r="DM222" s="50">
        <f t="shared" si="58"/>
        <v>4432.51</v>
      </c>
      <c r="DO222" s="52"/>
      <c r="DP222" s="43"/>
      <c r="DQ222" s="50">
        <f t="shared" si="59"/>
        <v>7995.9800000000032</v>
      </c>
      <c r="DT222" s="52"/>
      <c r="DU222" s="43"/>
      <c r="DV222" s="50">
        <f t="shared" si="60"/>
        <v>518.17000000000007</v>
      </c>
      <c r="DX222" s="52"/>
      <c r="DY222" s="43"/>
      <c r="DZ222" s="53">
        <f t="shared" si="61"/>
        <v>617.75</v>
      </c>
      <c r="EB222" s="52"/>
      <c r="EC222" s="43"/>
      <c r="ED222" s="53">
        <f t="shared" si="62"/>
        <v>500</v>
      </c>
      <c r="EF222" s="52"/>
      <c r="EG222" s="43"/>
      <c r="EH222" s="53">
        <f t="shared" si="63"/>
        <v>1048.04</v>
      </c>
      <c r="EJ222" s="65"/>
      <c r="EK222" s="7"/>
      <c r="EL222" s="53">
        <f t="shared" si="64"/>
        <v>25.299999999999997</v>
      </c>
      <c r="EN222" s="51">
        <f t="shared" si="65"/>
        <v>-3261.1833333333125</v>
      </c>
      <c r="EP222" s="60">
        <f t="shared" si="66"/>
        <v>0</v>
      </c>
      <c r="EQ222" s="61">
        <f t="shared" si="67"/>
        <v>0</v>
      </c>
      <c r="ER222" s="15">
        <f t="shared" si="68"/>
        <v>0</v>
      </c>
      <c r="ES222" s="62">
        <f t="shared" si="69"/>
        <v>0</v>
      </c>
      <c r="ET222" t="s">
        <v>1004</v>
      </c>
      <c r="EU222" s="6">
        <v>214</v>
      </c>
    </row>
    <row r="223" spans="1:151" x14ac:dyDescent="0.45">
      <c r="A223" s="9">
        <v>45642</v>
      </c>
      <c r="B223" t="s">
        <v>918</v>
      </c>
      <c r="C223" s="3" t="s">
        <v>637</v>
      </c>
      <c r="D223" s="7"/>
      <c r="E223" s="43"/>
      <c r="F223" s="7">
        <v>255</v>
      </c>
      <c r="G223" s="16">
        <f t="shared" si="55"/>
        <v>18249.610000000022</v>
      </c>
      <c r="H223" s="64" t="s">
        <v>625</v>
      </c>
      <c r="I223" s="52"/>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53"/>
      <c r="AS223" s="52"/>
      <c r="AT223" s="43"/>
      <c r="AU223" s="43"/>
      <c r="AV223" s="43"/>
      <c r="AW223" s="43"/>
      <c r="AX223" s="43"/>
      <c r="AY223" s="43"/>
      <c r="AZ223" s="43"/>
      <c r="BA223" s="43"/>
      <c r="BB223" s="43">
        <v>255</v>
      </c>
      <c r="BC223" s="43"/>
      <c r="BD223" s="43"/>
      <c r="BE223" s="43"/>
      <c r="BF223" s="43"/>
      <c r="BG223" s="43"/>
      <c r="BH223" s="43"/>
      <c r="BI223" s="43"/>
      <c r="BJ223" s="43"/>
      <c r="BK223" s="43"/>
      <c r="BL223" s="43"/>
      <c r="BM223" s="43"/>
      <c r="BN223" s="43"/>
      <c r="BO223" s="43"/>
      <c r="BP223" s="43"/>
      <c r="BQ223" s="43"/>
      <c r="BR223" s="43"/>
      <c r="BS223" s="43"/>
      <c r="BT223" s="43"/>
      <c r="BU223" s="43"/>
      <c r="BV223" s="43"/>
      <c r="BW223" s="53"/>
      <c r="BX223" s="30">
        <f t="shared" si="54"/>
        <v>0</v>
      </c>
      <c r="BY223" s="52">
        <f t="shared" ref="BY223:BY228" si="70">SUM(I223:M223)</f>
        <v>0</v>
      </c>
      <c r="BZ223" s="43"/>
      <c r="CA223" s="43"/>
      <c r="CB223" s="43"/>
      <c r="CC223" s="43"/>
      <c r="CD223" s="43"/>
      <c r="CE223" s="43"/>
      <c r="CF223" s="43"/>
      <c r="CG223" s="53"/>
      <c r="CH223" s="52"/>
      <c r="CI223" s="43"/>
      <c r="CJ223" s="43"/>
      <c r="CK223" s="43"/>
      <c r="CL223" s="43"/>
      <c r="CM223" s="43"/>
      <c r="CN223" s="43"/>
      <c r="CO223" s="43"/>
      <c r="CP223" s="43"/>
      <c r="CQ223" s="43"/>
      <c r="CR223" s="43"/>
      <c r="CS223" s="43"/>
      <c r="CT223" s="43"/>
      <c r="CU223" s="43"/>
      <c r="CV223" s="43"/>
      <c r="CW223" s="43"/>
      <c r="CX223" s="43">
        <f>F223</f>
        <v>255</v>
      </c>
      <c r="CY223" s="43"/>
      <c r="CZ223" s="7"/>
      <c r="DA223" s="7"/>
      <c r="DB223" s="43"/>
      <c r="DC223" s="43"/>
      <c r="DD223" s="53"/>
      <c r="DE223" s="73">
        <f t="shared" si="56"/>
        <v>0</v>
      </c>
      <c r="DG223" s="52"/>
      <c r="DH223" s="43"/>
      <c r="DI223" s="50">
        <f t="shared" si="57"/>
        <v>6628.0433333333322</v>
      </c>
      <c r="DK223" s="52"/>
      <c r="DL223" s="43"/>
      <c r="DM223" s="50">
        <f t="shared" si="58"/>
        <v>4432.51</v>
      </c>
      <c r="DO223" s="52"/>
      <c r="DP223" s="43"/>
      <c r="DQ223" s="50">
        <f t="shared" si="59"/>
        <v>7995.9800000000032</v>
      </c>
      <c r="DT223" s="52"/>
      <c r="DU223" s="43"/>
      <c r="DV223" s="50">
        <f t="shared" si="60"/>
        <v>518.17000000000007</v>
      </c>
      <c r="DX223" s="52"/>
      <c r="DY223" s="43"/>
      <c r="DZ223" s="53">
        <f t="shared" si="61"/>
        <v>617.75</v>
      </c>
      <c r="EB223" s="52"/>
      <c r="EC223" s="43"/>
      <c r="ED223" s="53">
        <f t="shared" si="62"/>
        <v>500</v>
      </c>
      <c r="EF223" s="52"/>
      <c r="EG223" s="43"/>
      <c r="EH223" s="53">
        <f t="shared" si="63"/>
        <v>1048.04</v>
      </c>
      <c r="EJ223" s="65"/>
      <c r="EK223" s="7"/>
      <c r="EL223" s="53">
        <f t="shared" si="64"/>
        <v>25.299999999999997</v>
      </c>
      <c r="EN223" s="51">
        <f t="shared" si="65"/>
        <v>-3516.1833333333125</v>
      </c>
      <c r="EP223" s="60">
        <f t="shared" si="66"/>
        <v>0</v>
      </c>
      <c r="EQ223" s="61">
        <f t="shared" si="67"/>
        <v>0</v>
      </c>
      <c r="ER223" s="15">
        <f t="shared" si="68"/>
        <v>0</v>
      </c>
      <c r="ES223" s="163">
        <f t="shared" si="69"/>
        <v>0</v>
      </c>
      <c r="EU223">
        <v>215</v>
      </c>
    </row>
    <row r="224" spans="1:151" x14ac:dyDescent="0.45">
      <c r="A224" s="9">
        <v>45650</v>
      </c>
      <c r="B224" t="s">
        <v>897</v>
      </c>
      <c r="C224" s="10" t="s">
        <v>185</v>
      </c>
      <c r="D224" s="7"/>
      <c r="E224" s="43"/>
      <c r="F224">
        <v>347.34</v>
      </c>
      <c r="G224" s="16">
        <f t="shared" si="55"/>
        <v>17902.270000000022</v>
      </c>
      <c r="H224" s="64" t="s">
        <v>625</v>
      </c>
      <c r="I224" s="52"/>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53"/>
      <c r="AS224" s="52"/>
      <c r="AT224" s="43"/>
      <c r="AU224" s="43"/>
      <c r="AV224" s="43"/>
      <c r="AW224" s="43"/>
      <c r="AX224" s="43"/>
      <c r="AY224" s="43"/>
      <c r="AZ224" s="43"/>
      <c r="BA224" s="43"/>
      <c r="BB224" s="43"/>
      <c r="BC224" s="43"/>
      <c r="BD224" s="43"/>
      <c r="BE224" s="43"/>
      <c r="BF224" s="43"/>
      <c r="BG224" s="43"/>
      <c r="BH224" s="43"/>
      <c r="BI224" s="43"/>
      <c r="BJ224" s="43"/>
      <c r="BK224" s="43"/>
      <c r="BL224" s="43"/>
      <c r="BM224" s="43"/>
      <c r="BN224" s="43"/>
      <c r="BO224" s="43"/>
      <c r="BP224" s="43"/>
      <c r="BQ224" s="43"/>
      <c r="BR224" s="43"/>
      <c r="BS224" s="43"/>
      <c r="BT224" s="43"/>
      <c r="BU224" s="43"/>
      <c r="BV224" s="43"/>
      <c r="BW224" s="53">
        <v>347.34</v>
      </c>
      <c r="BX224" s="30">
        <f t="shared" si="54"/>
        <v>0</v>
      </c>
      <c r="BY224" s="52">
        <f t="shared" si="70"/>
        <v>0</v>
      </c>
      <c r="BZ224" s="43"/>
      <c r="CA224" s="43"/>
      <c r="CB224" s="43"/>
      <c r="CC224" s="43"/>
      <c r="CD224" s="43"/>
      <c r="CE224" s="43"/>
      <c r="CF224" s="43"/>
      <c r="CG224" s="53"/>
      <c r="CH224" s="52"/>
      <c r="CI224" s="43"/>
      <c r="CJ224" s="43"/>
      <c r="CK224" s="43"/>
      <c r="CL224" s="43"/>
      <c r="CM224" s="43"/>
      <c r="CN224" s="43"/>
      <c r="CO224" s="43"/>
      <c r="CP224" s="43"/>
      <c r="CQ224" s="43"/>
      <c r="CR224" s="43"/>
      <c r="CS224" s="43"/>
      <c r="CT224" s="43"/>
      <c r="CU224" s="43"/>
      <c r="CV224" s="43"/>
      <c r="CW224" s="43"/>
      <c r="CX224" s="43"/>
      <c r="CY224" s="43"/>
      <c r="CZ224" s="7"/>
      <c r="DA224" s="7"/>
      <c r="DB224" s="43"/>
      <c r="DC224" s="43"/>
      <c r="DD224" s="53">
        <f>F224</f>
        <v>347.34</v>
      </c>
      <c r="DE224" s="73">
        <f t="shared" si="56"/>
        <v>0</v>
      </c>
      <c r="DG224" s="52"/>
      <c r="DH224" s="43"/>
      <c r="DI224" s="50">
        <f t="shared" si="57"/>
        <v>6628.0433333333322</v>
      </c>
      <c r="DK224" s="52"/>
      <c r="DL224" s="43"/>
      <c r="DM224" s="50">
        <f t="shared" si="58"/>
        <v>4432.51</v>
      </c>
      <c r="DO224" s="52"/>
      <c r="DP224" s="43"/>
      <c r="DQ224" s="50">
        <f t="shared" si="59"/>
        <v>7995.9800000000032</v>
      </c>
      <c r="DT224" s="52"/>
      <c r="DU224" s="43"/>
      <c r="DV224" s="50">
        <f t="shared" si="60"/>
        <v>518.17000000000007</v>
      </c>
      <c r="DX224" s="52"/>
      <c r="DY224" s="43"/>
      <c r="DZ224" s="53">
        <f t="shared" si="61"/>
        <v>617.75</v>
      </c>
      <c r="EB224" s="52"/>
      <c r="EC224" s="43"/>
      <c r="ED224" s="53">
        <f t="shared" si="62"/>
        <v>500</v>
      </c>
      <c r="EF224" s="52"/>
      <c r="EG224" s="43"/>
      <c r="EH224" s="53">
        <f t="shared" si="63"/>
        <v>1048.04</v>
      </c>
      <c r="EJ224" s="65"/>
      <c r="EK224" s="7"/>
      <c r="EL224" s="53">
        <f t="shared" si="64"/>
        <v>25.299999999999997</v>
      </c>
      <c r="EN224" s="51">
        <f t="shared" si="65"/>
        <v>-3863.5233333333126</v>
      </c>
      <c r="EP224" s="60">
        <f t="shared" si="66"/>
        <v>0</v>
      </c>
      <c r="EQ224" s="61">
        <f t="shared" si="67"/>
        <v>0</v>
      </c>
      <c r="ER224" s="15">
        <f t="shared" si="68"/>
        <v>0</v>
      </c>
      <c r="ES224" s="62">
        <f t="shared" si="69"/>
        <v>0</v>
      </c>
      <c r="ET224" t="s">
        <v>1005</v>
      </c>
      <c r="EU224" s="6">
        <v>216</v>
      </c>
    </row>
    <row r="225" spans="1:151" x14ac:dyDescent="0.45">
      <c r="A225" s="9">
        <v>45656</v>
      </c>
      <c r="B225" t="s">
        <v>919</v>
      </c>
      <c r="C225" s="223" t="s">
        <v>633</v>
      </c>
      <c r="D225" s="7"/>
      <c r="E225" s="43">
        <v>25</v>
      </c>
      <c r="G225" s="16">
        <f t="shared" si="55"/>
        <v>17927.270000000022</v>
      </c>
      <c r="H225" s="64" t="s">
        <v>625</v>
      </c>
      <c r="I225" s="52"/>
      <c r="J225" s="43"/>
      <c r="K225" s="43"/>
      <c r="L225" s="43"/>
      <c r="M225" s="43"/>
      <c r="N225" s="43"/>
      <c r="O225" s="43"/>
      <c r="P225" s="43"/>
      <c r="Q225" s="43"/>
      <c r="R225" s="43"/>
      <c r="S225" s="43"/>
      <c r="T225" s="43"/>
      <c r="U225" s="43"/>
      <c r="V225" s="43">
        <v>25</v>
      </c>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53"/>
      <c r="AS225" s="52"/>
      <c r="AT225" s="43"/>
      <c r="AU225" s="43"/>
      <c r="AV225" s="43"/>
      <c r="AW225" s="43"/>
      <c r="AX225" s="43"/>
      <c r="AY225" s="43"/>
      <c r="AZ225" s="43"/>
      <c r="BA225" s="43"/>
      <c r="BB225" s="43"/>
      <c r="BC225" s="43"/>
      <c r="BD225" s="43"/>
      <c r="BE225" s="43"/>
      <c r="BF225" s="43"/>
      <c r="BG225" s="43"/>
      <c r="BH225" s="43"/>
      <c r="BI225" s="43"/>
      <c r="BJ225" s="43"/>
      <c r="BK225" s="43"/>
      <c r="BL225" s="43"/>
      <c r="BM225" s="43"/>
      <c r="BN225" s="43"/>
      <c r="BO225" s="43"/>
      <c r="BP225" s="43"/>
      <c r="BQ225" s="43"/>
      <c r="BR225" s="43"/>
      <c r="BS225" s="43"/>
      <c r="BT225" s="43"/>
      <c r="BU225" s="43"/>
      <c r="BV225" s="43"/>
      <c r="BW225" s="53"/>
      <c r="BX225" s="30">
        <f t="shared" si="54"/>
        <v>0</v>
      </c>
      <c r="BY225" s="52">
        <f t="shared" si="70"/>
        <v>0</v>
      </c>
      <c r="BZ225" s="43"/>
      <c r="CA225" s="43"/>
      <c r="CB225" s="43"/>
      <c r="CC225" s="43"/>
      <c r="CD225" s="43"/>
      <c r="CE225" s="43"/>
      <c r="CF225" s="43"/>
      <c r="CG225" s="53">
        <f>E225</f>
        <v>25</v>
      </c>
      <c r="CH225" s="52"/>
      <c r="CI225" s="43"/>
      <c r="CJ225" s="43"/>
      <c r="CK225" s="43"/>
      <c r="CL225" s="43"/>
      <c r="CM225" s="43"/>
      <c r="CN225" s="43"/>
      <c r="CO225" s="43"/>
      <c r="CP225" s="43"/>
      <c r="CQ225" s="43"/>
      <c r="CR225" s="43"/>
      <c r="CS225" s="43"/>
      <c r="CT225" s="43"/>
      <c r="CU225" s="43"/>
      <c r="CV225" s="43"/>
      <c r="CW225" s="43"/>
      <c r="CX225" s="43"/>
      <c r="CY225" s="43"/>
      <c r="CZ225" s="7"/>
      <c r="DA225" s="7"/>
      <c r="DB225" s="43"/>
      <c r="DC225" s="43"/>
      <c r="DD225" s="53"/>
      <c r="DE225" s="73">
        <f t="shared" si="56"/>
        <v>0</v>
      </c>
      <c r="DG225" s="52"/>
      <c r="DH225" s="43"/>
      <c r="DI225" s="50">
        <f t="shared" si="57"/>
        <v>6628.0433333333322</v>
      </c>
      <c r="DK225" s="52"/>
      <c r="DL225" s="43"/>
      <c r="DM225" s="50">
        <f t="shared" si="58"/>
        <v>4432.51</v>
      </c>
      <c r="DO225" s="52"/>
      <c r="DP225" s="43"/>
      <c r="DQ225" s="50">
        <f t="shared" si="59"/>
        <v>7995.9800000000032</v>
      </c>
      <c r="DT225" s="52"/>
      <c r="DU225" s="43"/>
      <c r="DV225" s="50">
        <f t="shared" si="60"/>
        <v>518.17000000000007</v>
      </c>
      <c r="DX225" s="52"/>
      <c r="DY225" s="43"/>
      <c r="DZ225" s="53">
        <f t="shared" si="61"/>
        <v>617.75</v>
      </c>
      <c r="EB225" s="52"/>
      <c r="EC225" s="43"/>
      <c r="ED225" s="53">
        <f t="shared" si="62"/>
        <v>500</v>
      </c>
      <c r="EF225" s="52"/>
      <c r="EG225" s="43"/>
      <c r="EH225" s="53">
        <f t="shared" si="63"/>
        <v>1048.04</v>
      </c>
      <c r="EJ225" s="65"/>
      <c r="EK225" s="7"/>
      <c r="EL225" s="53">
        <f t="shared" si="64"/>
        <v>25.299999999999997</v>
      </c>
      <c r="EN225" s="51">
        <f t="shared" si="65"/>
        <v>-3838.5233333333126</v>
      </c>
      <c r="EP225" s="60">
        <f t="shared" si="66"/>
        <v>0</v>
      </c>
      <c r="EQ225" s="61">
        <f t="shared" si="67"/>
        <v>0</v>
      </c>
      <c r="ER225" s="15">
        <f t="shared" si="68"/>
        <v>0</v>
      </c>
      <c r="ES225" s="163">
        <f t="shared" si="69"/>
        <v>0</v>
      </c>
      <c r="EU225">
        <v>217</v>
      </c>
    </row>
    <row r="226" spans="1:151" x14ac:dyDescent="0.45">
      <c r="A226" s="9">
        <v>45666</v>
      </c>
      <c r="B226" t="s">
        <v>920</v>
      </c>
      <c r="C226" s="10" t="s">
        <v>627</v>
      </c>
      <c r="D226" s="7"/>
      <c r="E226" s="43"/>
      <c r="F226">
        <v>1031.8</v>
      </c>
      <c r="G226" s="16">
        <f t="shared" si="55"/>
        <v>16895.470000000023</v>
      </c>
      <c r="H226" s="64" t="s">
        <v>625</v>
      </c>
      <c r="I226" s="52"/>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53"/>
      <c r="AS226" s="52"/>
      <c r="AT226" s="43"/>
      <c r="AU226" s="43"/>
      <c r="AV226" s="43"/>
      <c r="AW226" s="43"/>
      <c r="AX226" s="43"/>
      <c r="AY226" s="43"/>
      <c r="AZ226" s="43"/>
      <c r="BA226" s="43"/>
      <c r="BB226" s="43">
        <v>1031.8</v>
      </c>
      <c r="BC226" s="43"/>
      <c r="BD226" s="43"/>
      <c r="BE226" s="43"/>
      <c r="BF226" s="43"/>
      <c r="BG226" s="43"/>
      <c r="BH226" s="43"/>
      <c r="BI226" s="43"/>
      <c r="BJ226" s="43"/>
      <c r="BK226" s="43"/>
      <c r="BL226" s="43"/>
      <c r="BM226" s="43"/>
      <c r="BN226" s="43"/>
      <c r="BO226" s="43"/>
      <c r="BP226" s="43"/>
      <c r="BQ226" s="43"/>
      <c r="BR226" s="43"/>
      <c r="BS226" s="43"/>
      <c r="BT226" s="43"/>
      <c r="BU226" s="43"/>
      <c r="BV226" s="43"/>
      <c r="BW226" s="53"/>
      <c r="BX226" s="30">
        <f t="shared" si="54"/>
        <v>0</v>
      </c>
      <c r="BY226" s="52">
        <f t="shared" si="70"/>
        <v>0</v>
      </c>
      <c r="BZ226" s="43"/>
      <c r="CA226" s="43"/>
      <c r="CB226" s="43"/>
      <c r="CC226" s="43"/>
      <c r="CD226" s="43"/>
      <c r="CE226" s="43"/>
      <c r="CF226" s="43"/>
      <c r="CG226" s="53"/>
      <c r="CH226" s="52"/>
      <c r="CI226" s="43"/>
      <c r="CJ226" s="43"/>
      <c r="CK226" s="43"/>
      <c r="CL226" s="43"/>
      <c r="CM226" s="43"/>
      <c r="CN226" s="43"/>
      <c r="CO226" s="43"/>
      <c r="CP226" s="43">
        <f>F226</f>
        <v>1031.8</v>
      </c>
      <c r="CQ226" s="43"/>
      <c r="CR226" s="43"/>
      <c r="CS226" s="43"/>
      <c r="CT226" s="43"/>
      <c r="CU226" s="43"/>
      <c r="CV226" s="43"/>
      <c r="CW226" s="43"/>
      <c r="CX226" s="43"/>
      <c r="CY226" s="43"/>
      <c r="CZ226" s="7"/>
      <c r="DA226" s="7"/>
      <c r="DB226" s="43"/>
      <c r="DC226" s="43"/>
      <c r="DD226" s="53"/>
      <c r="DE226" s="73">
        <f t="shared" si="56"/>
        <v>0</v>
      </c>
      <c r="DG226" s="52"/>
      <c r="DH226" s="43"/>
      <c r="DI226" s="50">
        <f t="shared" si="57"/>
        <v>6628.0433333333322</v>
      </c>
      <c r="DK226" s="52"/>
      <c r="DL226" s="43"/>
      <c r="DM226" s="50">
        <f t="shared" si="58"/>
        <v>4432.51</v>
      </c>
      <c r="DO226" s="52"/>
      <c r="DP226" s="43"/>
      <c r="DQ226" s="50">
        <f t="shared" si="59"/>
        <v>7995.9800000000032</v>
      </c>
      <c r="DT226" s="52"/>
      <c r="DU226" s="43"/>
      <c r="DV226" s="50">
        <f t="shared" si="60"/>
        <v>518.17000000000007</v>
      </c>
      <c r="DX226" s="52"/>
      <c r="DY226" s="43"/>
      <c r="DZ226" s="53">
        <f t="shared" si="61"/>
        <v>617.75</v>
      </c>
      <c r="EB226" s="52"/>
      <c r="EC226" s="43"/>
      <c r="ED226" s="53">
        <f t="shared" si="62"/>
        <v>500</v>
      </c>
      <c r="EF226" s="52"/>
      <c r="EG226" s="43"/>
      <c r="EH226" s="53">
        <f t="shared" si="63"/>
        <v>1048.04</v>
      </c>
      <c r="EJ226" s="65"/>
      <c r="EK226" s="7"/>
      <c r="EL226" s="53">
        <f t="shared" si="64"/>
        <v>25.299999999999997</v>
      </c>
      <c r="EN226" s="51">
        <f t="shared" si="65"/>
        <v>-4870.3233333333119</v>
      </c>
      <c r="EP226" s="60">
        <f t="shared" si="66"/>
        <v>0</v>
      </c>
      <c r="EQ226" s="61">
        <f t="shared" si="67"/>
        <v>0</v>
      </c>
      <c r="ER226" s="15">
        <f t="shared" si="68"/>
        <v>0</v>
      </c>
      <c r="ES226" s="62">
        <f t="shared" si="69"/>
        <v>0</v>
      </c>
      <c r="ET226" t="s">
        <v>1006</v>
      </c>
      <c r="EU226" s="6">
        <v>218</v>
      </c>
    </row>
    <row r="227" spans="1:151" x14ac:dyDescent="0.45">
      <c r="A227" s="9">
        <v>45666</v>
      </c>
      <c r="B227" t="s">
        <v>921</v>
      </c>
      <c r="C227" s="3" t="s">
        <v>628</v>
      </c>
      <c r="D227" s="7"/>
      <c r="F227" s="7">
        <v>148</v>
      </c>
      <c r="G227" s="16">
        <f t="shared" si="55"/>
        <v>16747.470000000023</v>
      </c>
      <c r="H227" s="64" t="s">
        <v>625</v>
      </c>
      <c r="I227" s="52"/>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53"/>
      <c r="AS227" s="52"/>
      <c r="AT227" s="43"/>
      <c r="AU227" s="43"/>
      <c r="AV227" s="43"/>
      <c r="AW227" s="43"/>
      <c r="AX227" s="43"/>
      <c r="AY227" s="43"/>
      <c r="AZ227" s="43"/>
      <c r="BA227" s="43"/>
      <c r="BB227" s="43"/>
      <c r="BC227" s="43"/>
      <c r="BD227" s="43"/>
      <c r="BE227" s="43"/>
      <c r="BF227" s="43"/>
      <c r="BG227" s="43"/>
      <c r="BH227" s="43"/>
      <c r="BI227" s="43"/>
      <c r="BJ227" s="43"/>
      <c r="BK227" s="43"/>
      <c r="BL227" s="43"/>
      <c r="BM227" s="43"/>
      <c r="BN227" s="43"/>
      <c r="BO227" s="43"/>
      <c r="BP227" s="43"/>
      <c r="BQ227" s="43"/>
      <c r="BR227" s="43"/>
      <c r="BS227" s="43"/>
      <c r="BT227" s="43"/>
      <c r="BU227" s="43"/>
      <c r="BV227" s="43"/>
      <c r="BW227" s="53">
        <v>148</v>
      </c>
      <c r="BX227" s="30">
        <f t="shared" si="54"/>
        <v>0</v>
      </c>
      <c r="BY227" s="52">
        <f t="shared" si="70"/>
        <v>0</v>
      </c>
      <c r="BZ227" s="43"/>
      <c r="CA227" s="43"/>
      <c r="CB227" s="43"/>
      <c r="CC227" s="43"/>
      <c r="CD227" s="43"/>
      <c r="CE227" s="43"/>
      <c r="CF227" s="43"/>
      <c r="CG227" s="53"/>
      <c r="CH227" s="52"/>
      <c r="CI227" s="43"/>
      <c r="CJ227" s="43"/>
      <c r="CK227" s="43">
        <f>F227</f>
        <v>148</v>
      </c>
      <c r="CL227" s="43"/>
      <c r="CM227" s="43"/>
      <c r="CN227" s="43"/>
      <c r="CO227" s="43"/>
      <c r="CP227" s="43"/>
      <c r="CQ227" s="43"/>
      <c r="CR227" s="43"/>
      <c r="CS227" s="43"/>
      <c r="CT227" s="43"/>
      <c r="CU227" s="43"/>
      <c r="CV227" s="43"/>
      <c r="CW227" s="43"/>
      <c r="CX227" s="43"/>
      <c r="CY227" s="43"/>
      <c r="CZ227" s="7"/>
      <c r="DA227" s="7"/>
      <c r="DB227" s="43"/>
      <c r="DC227" s="43"/>
      <c r="DD227" s="53"/>
      <c r="DE227" s="73">
        <f t="shared" si="56"/>
        <v>0</v>
      </c>
      <c r="DG227" s="52"/>
      <c r="DH227" s="43"/>
      <c r="DI227" s="50">
        <f t="shared" si="57"/>
        <v>6628.0433333333322</v>
      </c>
      <c r="DK227" s="52"/>
      <c r="DL227" s="43"/>
      <c r="DM227" s="50">
        <f t="shared" si="58"/>
        <v>4432.51</v>
      </c>
      <c r="DO227" s="52"/>
      <c r="DP227" s="43"/>
      <c r="DQ227" s="50">
        <f t="shared" si="59"/>
        <v>7995.9800000000032</v>
      </c>
      <c r="DT227" s="52"/>
      <c r="DU227" s="43"/>
      <c r="DV227" s="50">
        <f t="shared" si="60"/>
        <v>518.17000000000007</v>
      </c>
      <c r="DX227" s="52"/>
      <c r="DY227" s="43"/>
      <c r="DZ227" s="53">
        <f t="shared" si="61"/>
        <v>617.75</v>
      </c>
      <c r="EB227" s="52"/>
      <c r="EC227" s="43"/>
      <c r="ED227" s="53">
        <f t="shared" si="62"/>
        <v>500</v>
      </c>
      <c r="EF227" s="52"/>
      <c r="EG227" s="43"/>
      <c r="EH227" s="53">
        <f t="shared" si="63"/>
        <v>1048.04</v>
      </c>
      <c r="EJ227" s="65"/>
      <c r="EK227" s="7"/>
      <c r="EL227" s="53">
        <f t="shared" si="64"/>
        <v>25.299999999999997</v>
      </c>
      <c r="EN227" s="51">
        <f t="shared" si="65"/>
        <v>-5018.3233333333119</v>
      </c>
      <c r="EP227" s="60">
        <f t="shared" si="66"/>
        <v>0</v>
      </c>
      <c r="EQ227" s="61">
        <f t="shared" si="67"/>
        <v>0</v>
      </c>
      <c r="ER227" s="15">
        <f t="shared" si="68"/>
        <v>0</v>
      </c>
      <c r="ES227" s="163">
        <f t="shared" si="69"/>
        <v>0</v>
      </c>
      <c r="EU227">
        <v>219</v>
      </c>
    </row>
    <row r="228" spans="1:151" x14ac:dyDescent="0.45">
      <c r="A228" s="9">
        <v>45678</v>
      </c>
      <c r="B228" t="s">
        <v>897</v>
      </c>
      <c r="C228" s="3" t="s">
        <v>185</v>
      </c>
      <c r="D228" s="7"/>
      <c r="F228" s="7">
        <v>424</v>
      </c>
      <c r="G228" s="16">
        <f t="shared" si="55"/>
        <v>16323.470000000023</v>
      </c>
      <c r="H228" s="64" t="s">
        <v>625</v>
      </c>
      <c r="I228" s="52"/>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3"/>
      <c r="AR228" s="53"/>
      <c r="AS228" s="52"/>
      <c r="AT228" s="43"/>
      <c r="AU228" s="43"/>
      <c r="AV228" s="43"/>
      <c r="AW228" s="43"/>
      <c r="AX228" s="43"/>
      <c r="AY228" s="43"/>
      <c r="AZ228" s="43"/>
      <c r="BA228" s="43"/>
      <c r="BB228" s="43"/>
      <c r="BC228" s="43"/>
      <c r="BD228" s="43"/>
      <c r="BE228" s="43"/>
      <c r="BF228" s="43"/>
      <c r="BG228" s="43"/>
      <c r="BH228" s="43"/>
      <c r="BI228" s="43"/>
      <c r="BJ228" s="43"/>
      <c r="BK228" s="43"/>
      <c r="BL228" s="43"/>
      <c r="BM228" s="43"/>
      <c r="BN228" s="43"/>
      <c r="BO228" s="43"/>
      <c r="BP228" s="43"/>
      <c r="BQ228" s="43"/>
      <c r="BR228" s="43"/>
      <c r="BS228" s="43"/>
      <c r="BT228" s="43"/>
      <c r="BU228" s="43"/>
      <c r="BV228" s="43"/>
      <c r="BW228" s="53">
        <v>424</v>
      </c>
      <c r="BX228" s="30">
        <f t="shared" si="54"/>
        <v>0</v>
      </c>
      <c r="BY228" s="52">
        <f t="shared" si="70"/>
        <v>0</v>
      </c>
      <c r="BZ228" s="43"/>
      <c r="CA228" s="43"/>
      <c r="CB228" s="43"/>
      <c r="CC228" s="43"/>
      <c r="CD228" s="43"/>
      <c r="CE228" s="43"/>
      <c r="CF228" s="43"/>
      <c r="CG228" s="53"/>
      <c r="CH228" s="52"/>
      <c r="CI228" s="43"/>
      <c r="CJ228" s="43"/>
      <c r="CK228" s="43"/>
      <c r="CL228" s="43"/>
      <c r="CM228" s="43"/>
      <c r="CN228" s="43"/>
      <c r="CO228" s="43"/>
      <c r="CP228" s="43"/>
      <c r="CQ228" s="43"/>
      <c r="CR228" s="43"/>
      <c r="CS228" s="43"/>
      <c r="CT228" s="43"/>
      <c r="CU228" s="43"/>
      <c r="CV228" s="43"/>
      <c r="CW228" s="43"/>
      <c r="CX228" s="43"/>
      <c r="CY228" s="43"/>
      <c r="CZ228" s="7"/>
      <c r="DA228" s="7"/>
      <c r="DB228" s="43"/>
      <c r="DC228" s="43"/>
      <c r="DD228" s="53">
        <f>F228</f>
        <v>424</v>
      </c>
      <c r="DE228" s="73">
        <f t="shared" si="56"/>
        <v>0</v>
      </c>
      <c r="DG228" s="52"/>
      <c r="DH228" s="43"/>
      <c r="DI228" s="50">
        <f t="shared" si="57"/>
        <v>6628.0433333333322</v>
      </c>
      <c r="DK228" s="52"/>
      <c r="DL228" s="43"/>
      <c r="DM228" s="50">
        <f t="shared" si="58"/>
        <v>4432.51</v>
      </c>
      <c r="DO228" s="52"/>
      <c r="DP228" s="43"/>
      <c r="DQ228" s="50">
        <f t="shared" si="59"/>
        <v>7995.9800000000032</v>
      </c>
      <c r="DT228" s="52"/>
      <c r="DU228" s="43"/>
      <c r="DV228" s="50">
        <f t="shared" si="60"/>
        <v>518.17000000000007</v>
      </c>
      <c r="DX228" s="52"/>
      <c r="DY228" s="43"/>
      <c r="DZ228" s="53">
        <f t="shared" si="61"/>
        <v>617.75</v>
      </c>
      <c r="EB228" s="52"/>
      <c r="EC228" s="43"/>
      <c r="ED228" s="53">
        <f t="shared" si="62"/>
        <v>500</v>
      </c>
      <c r="EF228" s="52"/>
      <c r="EG228" s="43"/>
      <c r="EH228" s="53">
        <f t="shared" si="63"/>
        <v>1048.04</v>
      </c>
      <c r="EJ228" s="65"/>
      <c r="EK228" s="7"/>
      <c r="EL228" s="53">
        <f t="shared" si="64"/>
        <v>25.299999999999997</v>
      </c>
      <c r="EN228" s="51">
        <f t="shared" si="65"/>
        <v>-5442.3233333333119</v>
      </c>
      <c r="EP228" s="60">
        <f t="shared" si="66"/>
        <v>0</v>
      </c>
      <c r="EQ228" s="61">
        <f t="shared" si="67"/>
        <v>0</v>
      </c>
      <c r="ER228" s="15">
        <f t="shared" si="68"/>
        <v>0</v>
      </c>
      <c r="ES228" s="62">
        <f t="shared" si="69"/>
        <v>0</v>
      </c>
      <c r="ET228" t="s">
        <v>1005</v>
      </c>
      <c r="EU228" s="6">
        <v>220</v>
      </c>
    </row>
    <row r="229" spans="1:151" s="74" customFormat="1" x14ac:dyDescent="0.45">
      <c r="A229" s="9">
        <v>45680</v>
      </c>
      <c r="B229" t="s">
        <v>922</v>
      </c>
      <c r="C229" s="4" t="s">
        <v>633</v>
      </c>
      <c r="D229" s="7"/>
      <c r="E229">
        <v>7</v>
      </c>
      <c r="F229" s="43"/>
      <c r="G229" s="16">
        <f t="shared" si="55"/>
        <v>16330.470000000023</v>
      </c>
      <c r="H229" s="64" t="s">
        <v>625</v>
      </c>
      <c r="I229" s="52"/>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v>7</v>
      </c>
      <c r="AR229" s="53"/>
      <c r="AS229" s="52"/>
      <c r="AT229" s="43"/>
      <c r="AU229" s="43"/>
      <c r="AV229" s="43"/>
      <c r="AW229" s="43"/>
      <c r="AX229" s="43"/>
      <c r="AY229" s="43"/>
      <c r="AZ229" s="43"/>
      <c r="BA229" s="43"/>
      <c r="BB229" s="43"/>
      <c r="BC229" s="43"/>
      <c r="BD229" s="43"/>
      <c r="BE229" s="43"/>
      <c r="BF229" s="43"/>
      <c r="BG229" s="43"/>
      <c r="BH229" s="43"/>
      <c r="BI229" s="43"/>
      <c r="BJ229" s="43"/>
      <c r="BK229" s="43"/>
      <c r="BL229" s="43"/>
      <c r="BM229" s="43"/>
      <c r="BN229" s="43"/>
      <c r="BO229" s="43"/>
      <c r="BP229" s="43"/>
      <c r="BQ229" s="43"/>
      <c r="BR229" s="43"/>
      <c r="BS229" s="43"/>
      <c r="BT229" s="43"/>
      <c r="BU229" s="43"/>
      <c r="BV229" s="43"/>
      <c r="BW229" s="53"/>
      <c r="BX229" s="30">
        <f t="shared" si="54"/>
        <v>0</v>
      </c>
      <c r="BY229" s="52">
        <f>E229</f>
        <v>7</v>
      </c>
      <c r="BZ229" s="43"/>
      <c r="CA229" s="43"/>
      <c r="CB229" s="43"/>
      <c r="CC229" s="43"/>
      <c r="CD229" s="43"/>
      <c r="CE229" s="43"/>
      <c r="CF229" s="43"/>
      <c r="CG229" s="53"/>
      <c r="CH229" s="52"/>
      <c r="CI229" s="43"/>
      <c r="CJ229" s="43"/>
      <c r="CK229" s="43"/>
      <c r="CL229" s="43"/>
      <c r="CM229" s="43"/>
      <c r="CN229" s="43"/>
      <c r="CO229" s="43"/>
      <c r="CP229" s="43"/>
      <c r="CQ229" s="43"/>
      <c r="CR229" s="43"/>
      <c r="CS229" s="43"/>
      <c r="CT229" s="43"/>
      <c r="CU229" s="43"/>
      <c r="CV229" s="43"/>
      <c r="CW229" s="43"/>
      <c r="CX229" s="43"/>
      <c r="CY229" s="43"/>
      <c r="CZ229" s="7"/>
      <c r="DA229" s="7"/>
      <c r="DB229" s="43"/>
      <c r="DC229" s="43"/>
      <c r="DD229" s="53"/>
      <c r="DE229" s="73">
        <f t="shared" si="56"/>
        <v>0</v>
      </c>
      <c r="DF229" s="15"/>
      <c r="DG229" s="52"/>
      <c r="DH229" s="43"/>
      <c r="DI229" s="50">
        <f t="shared" si="57"/>
        <v>6628.0433333333322</v>
      </c>
      <c r="DJ229" s="15"/>
      <c r="DK229" s="52"/>
      <c r="DL229" s="43"/>
      <c r="DM229" s="50">
        <f t="shared" si="58"/>
        <v>4432.51</v>
      </c>
      <c r="DN229" s="15"/>
      <c r="DO229" s="52"/>
      <c r="DP229" s="43"/>
      <c r="DQ229" s="50">
        <f t="shared" si="59"/>
        <v>7995.9800000000032</v>
      </c>
      <c r="DR229" s="15"/>
      <c r="DS229" s="15"/>
      <c r="DT229" s="52"/>
      <c r="DU229" s="43"/>
      <c r="DV229" s="50">
        <f t="shared" si="60"/>
        <v>518.17000000000007</v>
      </c>
      <c r="DW229" s="15"/>
      <c r="DX229" s="52"/>
      <c r="DY229" s="43"/>
      <c r="DZ229" s="53">
        <f t="shared" si="61"/>
        <v>617.75</v>
      </c>
      <c r="EA229" s="15"/>
      <c r="EB229" s="52"/>
      <c r="EC229" s="43"/>
      <c r="ED229" s="53">
        <f t="shared" si="62"/>
        <v>500</v>
      </c>
      <c r="EE229" s="15"/>
      <c r="EF229" s="52"/>
      <c r="EG229" s="43"/>
      <c r="EH229" s="53">
        <f t="shared" si="63"/>
        <v>1048.04</v>
      </c>
      <c r="EI229"/>
      <c r="EJ229" s="65"/>
      <c r="EK229" s="7"/>
      <c r="EL229" s="53">
        <f t="shared" si="64"/>
        <v>25.299999999999997</v>
      </c>
      <c r="EM229"/>
      <c r="EN229" s="51">
        <f t="shared" si="65"/>
        <v>-5435.3233333333119</v>
      </c>
      <c r="EO229"/>
      <c r="EP229" s="60">
        <f t="shared" si="66"/>
        <v>0</v>
      </c>
      <c r="EQ229" s="61">
        <f t="shared" si="67"/>
        <v>0</v>
      </c>
      <c r="ER229" s="15">
        <f t="shared" si="68"/>
        <v>0</v>
      </c>
      <c r="ES229" s="163">
        <f t="shared" si="69"/>
        <v>0</v>
      </c>
      <c r="ET229"/>
      <c r="EU229">
        <v>221</v>
      </c>
    </row>
    <row r="230" spans="1:151" x14ac:dyDescent="0.45">
      <c r="A230" s="9">
        <v>45680</v>
      </c>
      <c r="B230" t="s">
        <v>923</v>
      </c>
      <c r="C230" s="4" t="s">
        <v>633</v>
      </c>
      <c r="D230" s="7"/>
      <c r="E230">
        <v>10</v>
      </c>
      <c r="F230" s="43"/>
      <c r="G230" s="16">
        <f t="shared" si="55"/>
        <v>16340.470000000023</v>
      </c>
      <c r="H230" s="64" t="s">
        <v>625</v>
      </c>
      <c r="I230" s="52"/>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v>10</v>
      </c>
      <c r="AN230" s="43"/>
      <c r="AO230" s="43"/>
      <c r="AP230" s="43"/>
      <c r="AQ230" s="43"/>
      <c r="AR230" s="53"/>
      <c r="AS230" s="52"/>
      <c r="AT230" s="43"/>
      <c r="AU230" s="43"/>
      <c r="AV230" s="43"/>
      <c r="AW230" s="43"/>
      <c r="AX230" s="43"/>
      <c r="AY230" s="43"/>
      <c r="AZ230" s="43"/>
      <c r="BA230" s="43"/>
      <c r="BB230" s="43"/>
      <c r="BC230" s="43"/>
      <c r="BD230" s="43"/>
      <c r="BE230" s="43"/>
      <c r="BF230" s="43"/>
      <c r="BG230" s="43"/>
      <c r="BH230" s="43"/>
      <c r="BI230" s="43"/>
      <c r="BJ230" s="43"/>
      <c r="BK230" s="43"/>
      <c r="BL230" s="43"/>
      <c r="BM230" s="43"/>
      <c r="BN230" s="43"/>
      <c r="BO230" s="43"/>
      <c r="BP230" s="43"/>
      <c r="BQ230" s="43"/>
      <c r="BR230" s="43"/>
      <c r="BS230" s="43"/>
      <c r="BT230" s="43"/>
      <c r="BU230" s="43"/>
      <c r="BV230" s="43"/>
      <c r="BW230" s="53"/>
      <c r="BX230" s="30">
        <f t="shared" si="54"/>
        <v>0</v>
      </c>
      <c r="BY230" s="52">
        <f>E230</f>
        <v>10</v>
      </c>
      <c r="BZ230" s="43"/>
      <c r="CA230" s="43"/>
      <c r="CB230" s="43"/>
      <c r="CC230" s="43"/>
      <c r="CD230" s="43"/>
      <c r="CE230" s="43"/>
      <c r="CF230" s="43"/>
      <c r="CG230" s="53"/>
      <c r="CH230" s="52"/>
      <c r="CI230" s="43"/>
      <c r="CJ230" s="43"/>
      <c r="CK230" s="43"/>
      <c r="CL230" s="43"/>
      <c r="CM230" s="43"/>
      <c r="CN230" s="43"/>
      <c r="CO230" s="43"/>
      <c r="CP230" s="43"/>
      <c r="CQ230" s="43"/>
      <c r="CR230" s="43"/>
      <c r="CS230" s="43"/>
      <c r="CT230" s="43"/>
      <c r="CU230" s="43"/>
      <c r="CV230" s="43"/>
      <c r="CW230" s="43"/>
      <c r="CX230" s="43"/>
      <c r="CY230" s="43"/>
      <c r="CZ230" s="7"/>
      <c r="DA230" s="7"/>
      <c r="DB230" s="43"/>
      <c r="DC230" s="43"/>
      <c r="DD230" s="53"/>
      <c r="DE230" s="73">
        <f t="shared" si="56"/>
        <v>0</v>
      </c>
      <c r="DG230" s="52"/>
      <c r="DH230" s="43"/>
      <c r="DI230" s="50">
        <f t="shared" si="57"/>
        <v>6628.0433333333322</v>
      </c>
      <c r="DK230" s="52"/>
      <c r="DL230" s="43"/>
      <c r="DM230" s="50">
        <f t="shared" si="58"/>
        <v>4432.51</v>
      </c>
      <c r="DO230" s="52"/>
      <c r="DP230" s="43"/>
      <c r="DQ230" s="50">
        <f t="shared" si="59"/>
        <v>7995.9800000000032</v>
      </c>
      <c r="DT230" s="52"/>
      <c r="DU230" s="43"/>
      <c r="DV230" s="50">
        <f t="shared" si="60"/>
        <v>518.17000000000007</v>
      </c>
      <c r="DX230" s="52"/>
      <c r="DY230" s="43"/>
      <c r="DZ230" s="53">
        <f t="shared" si="61"/>
        <v>617.75</v>
      </c>
      <c r="EB230" s="52"/>
      <c r="EC230" s="43"/>
      <c r="ED230" s="53">
        <f t="shared" si="62"/>
        <v>500</v>
      </c>
      <c r="EF230" s="52"/>
      <c r="EG230" s="43"/>
      <c r="EH230" s="53">
        <f t="shared" si="63"/>
        <v>1048.04</v>
      </c>
      <c r="EJ230" s="65"/>
      <c r="EK230" s="7"/>
      <c r="EL230" s="53">
        <f t="shared" si="64"/>
        <v>25.299999999999997</v>
      </c>
      <c r="EN230" s="51">
        <f t="shared" si="65"/>
        <v>-5425.3233333333119</v>
      </c>
      <c r="EP230" s="60">
        <f t="shared" si="66"/>
        <v>0</v>
      </c>
      <c r="EQ230" s="61">
        <f t="shared" si="67"/>
        <v>0</v>
      </c>
      <c r="ER230" s="15">
        <f t="shared" si="68"/>
        <v>0</v>
      </c>
      <c r="ES230" s="62">
        <f t="shared" si="69"/>
        <v>0</v>
      </c>
      <c r="EU230" s="6">
        <v>222</v>
      </c>
    </row>
    <row r="231" spans="1:151" x14ac:dyDescent="0.45">
      <c r="A231" s="9">
        <v>45685</v>
      </c>
      <c r="B231" t="s">
        <v>925</v>
      </c>
      <c r="C231" s="4" t="s">
        <v>633</v>
      </c>
      <c r="D231" s="7"/>
      <c r="E231">
        <v>470.58</v>
      </c>
      <c r="F231" s="43"/>
      <c r="G231" s="16">
        <f t="shared" si="55"/>
        <v>16811.050000000025</v>
      </c>
      <c r="H231" s="64" t="s">
        <v>625</v>
      </c>
      <c r="I231" s="52"/>
      <c r="J231" s="43"/>
      <c r="K231" s="43"/>
      <c r="L231" s="43"/>
      <c r="M231" s="43"/>
      <c r="N231" s="43"/>
      <c r="O231" s="43"/>
      <c r="P231" s="43"/>
      <c r="Q231" s="43"/>
      <c r="R231" s="43"/>
      <c r="S231" s="43"/>
      <c r="T231" s="43"/>
      <c r="U231" s="43"/>
      <c r="V231" s="43"/>
      <c r="W231" s="43"/>
      <c r="X231" s="43"/>
      <c r="Y231" s="43">
        <v>470.58</v>
      </c>
      <c r="Z231" s="43"/>
      <c r="AA231" s="43"/>
      <c r="AB231" s="43"/>
      <c r="AC231" s="43"/>
      <c r="AD231" s="43"/>
      <c r="AE231" s="43"/>
      <c r="AF231" s="43"/>
      <c r="AG231" s="43"/>
      <c r="AH231" s="43"/>
      <c r="AI231" s="43"/>
      <c r="AJ231" s="43"/>
      <c r="AK231" s="43"/>
      <c r="AL231" s="43"/>
      <c r="AM231" s="43"/>
      <c r="AN231" s="43"/>
      <c r="AO231" s="43"/>
      <c r="AP231" s="43"/>
      <c r="AQ231" s="43"/>
      <c r="AR231" s="53"/>
      <c r="AS231" s="52"/>
      <c r="AT231" s="43"/>
      <c r="AU231" s="43"/>
      <c r="AV231" s="43"/>
      <c r="AW231" s="43"/>
      <c r="AX231" s="43"/>
      <c r="AY231" s="43"/>
      <c r="AZ231" s="43"/>
      <c r="BA231" s="43"/>
      <c r="BB231" s="43"/>
      <c r="BC231" s="43"/>
      <c r="BD231" s="43"/>
      <c r="BE231" s="43"/>
      <c r="BF231" s="43"/>
      <c r="BG231" s="43"/>
      <c r="BH231" s="43"/>
      <c r="BI231" s="43"/>
      <c r="BJ231" s="43"/>
      <c r="BK231" s="43"/>
      <c r="BL231" s="43"/>
      <c r="BM231" s="43"/>
      <c r="BN231" s="43"/>
      <c r="BO231" s="43"/>
      <c r="BP231" s="43"/>
      <c r="BQ231" s="43"/>
      <c r="BR231" s="43"/>
      <c r="BS231" s="43"/>
      <c r="BT231" s="43"/>
      <c r="BU231" s="43"/>
      <c r="BV231" s="43"/>
      <c r="BW231" s="53"/>
      <c r="BX231" s="30">
        <f t="shared" si="54"/>
        <v>0</v>
      </c>
      <c r="BY231" s="52">
        <f t="shared" ref="BY231:BY262" si="71">SUM(I231:M231)</f>
        <v>0</v>
      </c>
      <c r="BZ231" s="48">
        <f>E231</f>
        <v>470.58</v>
      </c>
      <c r="CA231" s="43"/>
      <c r="CB231" s="43"/>
      <c r="CC231" s="43"/>
      <c r="CD231" s="43"/>
      <c r="CE231" s="43"/>
      <c r="CF231" s="43"/>
      <c r="CG231" s="53"/>
      <c r="CH231" s="52"/>
      <c r="CI231" s="43"/>
      <c r="CJ231" s="43"/>
      <c r="CK231" s="43"/>
      <c r="CL231" s="43"/>
      <c r="CM231" s="43"/>
      <c r="CN231" s="43"/>
      <c r="CO231" s="43"/>
      <c r="CP231" s="43"/>
      <c r="CQ231" s="43"/>
      <c r="CR231" s="43"/>
      <c r="CS231" s="43"/>
      <c r="CT231" s="43"/>
      <c r="CU231" s="43"/>
      <c r="CV231" s="43"/>
      <c r="CW231" s="43"/>
      <c r="CX231" s="43"/>
      <c r="CY231" s="43"/>
      <c r="CZ231" s="7"/>
      <c r="DA231" s="7"/>
      <c r="DB231" s="43"/>
      <c r="DC231" s="43"/>
      <c r="DD231" s="53"/>
      <c r="DE231" s="73">
        <f t="shared" si="56"/>
        <v>0</v>
      </c>
      <c r="DG231" s="52"/>
      <c r="DH231" s="43"/>
      <c r="DI231" s="50">
        <f t="shared" si="57"/>
        <v>6628.0433333333322</v>
      </c>
      <c r="DK231" s="52"/>
      <c r="DL231" s="43"/>
      <c r="DM231" s="50">
        <f t="shared" si="58"/>
        <v>4432.51</v>
      </c>
      <c r="DO231" s="52"/>
      <c r="DP231" s="43"/>
      <c r="DQ231" s="50">
        <f t="shared" si="59"/>
        <v>7995.9800000000032</v>
      </c>
      <c r="DT231" s="52"/>
      <c r="DU231" s="43"/>
      <c r="DV231" s="50">
        <f t="shared" si="60"/>
        <v>518.17000000000007</v>
      </c>
      <c r="DX231" s="52"/>
      <c r="DY231" s="43"/>
      <c r="DZ231" s="53">
        <f t="shared" si="61"/>
        <v>617.75</v>
      </c>
      <c r="EB231" s="52"/>
      <c r="EC231" s="43"/>
      <c r="ED231" s="53">
        <f t="shared" si="62"/>
        <v>500</v>
      </c>
      <c r="EF231" s="52"/>
      <c r="EG231" s="43"/>
      <c r="EH231" s="53">
        <f t="shared" si="63"/>
        <v>1048.04</v>
      </c>
      <c r="EJ231" s="65"/>
      <c r="EK231" s="7"/>
      <c r="EL231" s="53">
        <f t="shared" si="64"/>
        <v>25.299999999999997</v>
      </c>
      <c r="EN231" s="51">
        <f t="shared" si="65"/>
        <v>-4954.7433333333101</v>
      </c>
      <c r="EP231" s="60">
        <f t="shared" si="66"/>
        <v>0</v>
      </c>
      <c r="EQ231" s="61">
        <f t="shared" si="67"/>
        <v>0</v>
      </c>
      <c r="ER231" s="15">
        <f t="shared" si="68"/>
        <v>0</v>
      </c>
      <c r="ES231" s="62">
        <f t="shared" si="69"/>
        <v>0</v>
      </c>
      <c r="ET231" t="s">
        <v>1004</v>
      </c>
      <c r="EU231" s="6">
        <v>224</v>
      </c>
    </row>
    <row r="232" spans="1:151" x14ac:dyDescent="0.45">
      <c r="A232" s="9">
        <v>45685</v>
      </c>
      <c r="B232" t="s">
        <v>926</v>
      </c>
      <c r="C232" s="4" t="s">
        <v>633</v>
      </c>
      <c r="D232" s="7"/>
      <c r="E232">
        <v>19.04</v>
      </c>
      <c r="F232" s="43"/>
      <c r="G232" s="16">
        <f t="shared" si="55"/>
        <v>16830.090000000026</v>
      </c>
      <c r="H232" s="64" t="s">
        <v>625</v>
      </c>
      <c r="I232" s="52"/>
      <c r="J232" s="43"/>
      <c r="K232" s="43"/>
      <c r="L232" s="43"/>
      <c r="M232" s="43"/>
      <c r="N232" s="43"/>
      <c r="O232" s="43"/>
      <c r="P232" s="43"/>
      <c r="Q232" s="43"/>
      <c r="R232" s="43"/>
      <c r="S232" s="43"/>
      <c r="T232" s="43"/>
      <c r="U232" s="43"/>
      <c r="V232" s="43"/>
      <c r="W232" s="43"/>
      <c r="X232" s="43"/>
      <c r="Y232" s="43"/>
      <c r="Z232" s="43">
        <v>19.04</v>
      </c>
      <c r="AA232" s="43"/>
      <c r="AB232" s="43"/>
      <c r="AC232" s="43"/>
      <c r="AD232" s="43"/>
      <c r="AE232" s="43"/>
      <c r="AF232" s="43"/>
      <c r="AG232" s="43"/>
      <c r="AH232" s="43"/>
      <c r="AI232" s="43"/>
      <c r="AJ232" s="43"/>
      <c r="AK232" s="43"/>
      <c r="AL232" s="43"/>
      <c r="AM232" s="43"/>
      <c r="AN232" s="43"/>
      <c r="AO232" s="43"/>
      <c r="AP232" s="43"/>
      <c r="AQ232" s="43"/>
      <c r="AR232" s="53"/>
      <c r="AS232" s="52"/>
      <c r="AT232" s="43"/>
      <c r="AU232" s="43"/>
      <c r="AV232" s="43"/>
      <c r="AW232" s="43"/>
      <c r="AX232" s="43"/>
      <c r="AY232" s="43"/>
      <c r="AZ232" s="43"/>
      <c r="BA232" s="43"/>
      <c r="BB232" s="43"/>
      <c r="BC232" s="43"/>
      <c r="BD232" s="43"/>
      <c r="BE232" s="43"/>
      <c r="BF232" s="43"/>
      <c r="BG232" s="43"/>
      <c r="BH232" s="43"/>
      <c r="BI232" s="43"/>
      <c r="BJ232" s="43"/>
      <c r="BK232" s="43"/>
      <c r="BL232" s="43"/>
      <c r="BM232" s="43"/>
      <c r="BN232" s="43"/>
      <c r="BO232" s="43"/>
      <c r="BP232" s="43"/>
      <c r="BQ232" s="43"/>
      <c r="BR232" s="43"/>
      <c r="BS232" s="43"/>
      <c r="BT232" s="43"/>
      <c r="BU232" s="43"/>
      <c r="BV232" s="43"/>
      <c r="BW232" s="53"/>
      <c r="BX232" s="30">
        <f t="shared" si="54"/>
        <v>0</v>
      </c>
      <c r="BY232" s="52">
        <f t="shared" si="71"/>
        <v>0</v>
      </c>
      <c r="BZ232" s="48">
        <f>E232</f>
        <v>19.04</v>
      </c>
      <c r="CA232" s="43"/>
      <c r="CB232" s="43"/>
      <c r="CC232" s="43"/>
      <c r="CD232" s="43"/>
      <c r="CE232" s="43"/>
      <c r="CF232" s="43"/>
      <c r="CG232" s="53"/>
      <c r="CH232" s="52"/>
      <c r="CI232" s="43"/>
      <c r="CJ232" s="43"/>
      <c r="CK232" s="43"/>
      <c r="CL232" s="43"/>
      <c r="CM232" s="43"/>
      <c r="CN232" s="43"/>
      <c r="CO232" s="43"/>
      <c r="CP232" s="43"/>
      <c r="CQ232" s="43"/>
      <c r="CR232" s="43"/>
      <c r="CS232" s="43"/>
      <c r="CT232" s="43"/>
      <c r="CU232" s="43"/>
      <c r="CV232" s="43"/>
      <c r="CW232" s="43"/>
      <c r="CX232" s="43"/>
      <c r="CY232" s="43"/>
      <c r="CZ232" s="7"/>
      <c r="DA232" s="7"/>
      <c r="DB232" s="43"/>
      <c r="DC232" s="43"/>
      <c r="DD232" s="53"/>
      <c r="DE232" s="73">
        <f t="shared" si="56"/>
        <v>0</v>
      </c>
      <c r="DG232" s="52"/>
      <c r="DH232" s="43"/>
      <c r="DI232" s="50">
        <f t="shared" si="57"/>
        <v>6628.0433333333322</v>
      </c>
      <c r="DK232" s="52"/>
      <c r="DL232" s="43"/>
      <c r="DM232" s="50">
        <f t="shared" si="58"/>
        <v>4432.51</v>
      </c>
      <c r="DO232" s="52"/>
      <c r="DP232" s="43"/>
      <c r="DQ232" s="50">
        <f t="shared" si="59"/>
        <v>7995.9800000000032</v>
      </c>
      <c r="DT232" s="52"/>
      <c r="DU232" s="43"/>
      <c r="DV232" s="50">
        <f t="shared" si="60"/>
        <v>518.17000000000007</v>
      </c>
      <c r="DX232" s="52"/>
      <c r="DY232" s="43"/>
      <c r="DZ232" s="53">
        <f t="shared" si="61"/>
        <v>617.75</v>
      </c>
      <c r="EB232" s="52"/>
      <c r="EC232" s="43"/>
      <c r="ED232" s="53">
        <f t="shared" si="62"/>
        <v>500</v>
      </c>
      <c r="EF232" s="52"/>
      <c r="EG232" s="43"/>
      <c r="EH232" s="53">
        <f t="shared" si="63"/>
        <v>1048.04</v>
      </c>
      <c r="EJ232" s="65"/>
      <c r="EK232" s="7"/>
      <c r="EL232" s="53">
        <f t="shared" si="64"/>
        <v>25.299999999999997</v>
      </c>
      <c r="EN232" s="51">
        <f t="shared" si="65"/>
        <v>-4935.7033333333093</v>
      </c>
      <c r="EP232" s="60">
        <f t="shared" si="66"/>
        <v>0</v>
      </c>
      <c r="EQ232" s="61">
        <f t="shared" si="67"/>
        <v>0</v>
      </c>
      <c r="ER232" s="15">
        <f t="shared" si="68"/>
        <v>0</v>
      </c>
      <c r="ES232" s="163">
        <f t="shared" si="69"/>
        <v>0</v>
      </c>
      <c r="EU232">
        <v>225</v>
      </c>
    </row>
    <row r="233" spans="1:151" x14ac:dyDescent="0.45">
      <c r="A233" s="9">
        <v>45685</v>
      </c>
      <c r="B233" t="s">
        <v>927</v>
      </c>
      <c r="C233" s="223" t="s">
        <v>633</v>
      </c>
      <c r="D233" s="7"/>
      <c r="E233" s="7">
        <v>3.21</v>
      </c>
      <c r="F233" s="43"/>
      <c r="G233" s="16">
        <f t="shared" si="55"/>
        <v>16833.300000000025</v>
      </c>
      <c r="H233" s="64" t="s">
        <v>625</v>
      </c>
      <c r="I233" s="52"/>
      <c r="J233" s="43"/>
      <c r="K233" s="43"/>
      <c r="L233" s="43"/>
      <c r="M233" s="43"/>
      <c r="N233" s="43"/>
      <c r="O233" s="43"/>
      <c r="P233" s="43"/>
      <c r="Q233" s="43"/>
      <c r="R233" s="43"/>
      <c r="S233" s="43"/>
      <c r="T233" s="43"/>
      <c r="U233" s="43"/>
      <c r="V233" s="43"/>
      <c r="W233" s="43"/>
      <c r="X233" s="43">
        <v>3.21</v>
      </c>
      <c r="Y233" s="43"/>
      <c r="Z233" s="43"/>
      <c r="AA233" s="43"/>
      <c r="AB233" s="43"/>
      <c r="AC233" s="43"/>
      <c r="AD233" s="43"/>
      <c r="AE233" s="43"/>
      <c r="AF233" s="43"/>
      <c r="AG233" s="43"/>
      <c r="AH233" s="43"/>
      <c r="AI233" s="43"/>
      <c r="AJ233" s="43"/>
      <c r="AK233" s="43"/>
      <c r="AL233" s="43"/>
      <c r="AM233" s="43"/>
      <c r="AN233" s="43"/>
      <c r="AO233" s="43"/>
      <c r="AP233" s="43"/>
      <c r="AQ233" s="43"/>
      <c r="AR233" s="53"/>
      <c r="AS233" s="52"/>
      <c r="AT233" s="43"/>
      <c r="AU233" s="43"/>
      <c r="AV233" s="43"/>
      <c r="AW233" s="43"/>
      <c r="AX233" s="43"/>
      <c r="AY233" s="43"/>
      <c r="AZ233" s="43"/>
      <c r="BA233" s="43"/>
      <c r="BB233" s="43"/>
      <c r="BC233" s="43"/>
      <c r="BD233" s="43"/>
      <c r="BE233" s="43"/>
      <c r="BF233" s="43"/>
      <c r="BG233" s="43"/>
      <c r="BH233" s="43"/>
      <c r="BI233" s="43"/>
      <c r="BJ233" s="43"/>
      <c r="BK233" s="43"/>
      <c r="BL233" s="43"/>
      <c r="BM233" s="43"/>
      <c r="BN233" s="43"/>
      <c r="BO233" s="43"/>
      <c r="BP233" s="43"/>
      <c r="BQ233" s="43"/>
      <c r="BR233" s="43"/>
      <c r="BS233" s="43"/>
      <c r="BT233" s="43"/>
      <c r="BU233" s="43"/>
      <c r="BV233" s="43"/>
      <c r="BW233" s="53"/>
      <c r="BX233" s="30">
        <f t="shared" si="54"/>
        <v>0</v>
      </c>
      <c r="BY233" s="52">
        <f t="shared" si="71"/>
        <v>0</v>
      </c>
      <c r="BZ233" s="48">
        <f>E233</f>
        <v>3.21</v>
      </c>
      <c r="CA233" s="43"/>
      <c r="CB233" s="43"/>
      <c r="CC233" s="43"/>
      <c r="CD233" s="43"/>
      <c r="CE233" s="43"/>
      <c r="CF233" s="43"/>
      <c r="CG233" s="53"/>
      <c r="CH233" s="52"/>
      <c r="CI233" s="43"/>
      <c r="CJ233" s="43"/>
      <c r="CK233" s="43"/>
      <c r="CL233" s="43"/>
      <c r="CM233" s="43"/>
      <c r="CN233" s="43"/>
      <c r="CO233" s="43"/>
      <c r="CP233" s="43"/>
      <c r="CQ233" s="43"/>
      <c r="CR233" s="43"/>
      <c r="CS233" s="43"/>
      <c r="CT233" s="43"/>
      <c r="CU233" s="43"/>
      <c r="CV233" s="43"/>
      <c r="CW233" s="43"/>
      <c r="CX233" s="43"/>
      <c r="CY233" s="43"/>
      <c r="CZ233" s="7"/>
      <c r="DA233" s="7"/>
      <c r="DB233" s="43"/>
      <c r="DC233" s="43"/>
      <c r="DD233" s="53"/>
      <c r="DE233" s="73">
        <f t="shared" si="56"/>
        <v>0</v>
      </c>
      <c r="DG233" s="52"/>
      <c r="DH233" s="43"/>
      <c r="DI233" s="50">
        <f t="shared" si="57"/>
        <v>6628.0433333333322</v>
      </c>
      <c r="DK233" s="52"/>
      <c r="DL233" s="43"/>
      <c r="DM233" s="50">
        <f t="shared" si="58"/>
        <v>4432.51</v>
      </c>
      <c r="DO233" s="52"/>
      <c r="DP233" s="43"/>
      <c r="DQ233" s="50">
        <f t="shared" si="59"/>
        <v>7995.9800000000032</v>
      </c>
      <c r="DT233" s="52"/>
      <c r="DU233" s="43"/>
      <c r="DV233" s="50">
        <f t="shared" si="60"/>
        <v>518.17000000000007</v>
      </c>
      <c r="DX233" s="52"/>
      <c r="DY233" s="43"/>
      <c r="DZ233" s="53">
        <f t="shared" si="61"/>
        <v>617.75</v>
      </c>
      <c r="EB233" s="52"/>
      <c r="EC233" s="43"/>
      <c r="ED233" s="53">
        <f t="shared" si="62"/>
        <v>500</v>
      </c>
      <c r="EF233" s="52"/>
      <c r="EG233" s="43"/>
      <c r="EH233" s="53">
        <f t="shared" si="63"/>
        <v>1048.04</v>
      </c>
      <c r="EJ233" s="65"/>
      <c r="EK233" s="7"/>
      <c r="EL233" s="53">
        <f t="shared" si="64"/>
        <v>25.299999999999997</v>
      </c>
      <c r="EN233" s="51">
        <f t="shared" si="65"/>
        <v>-4932.4933333333101</v>
      </c>
      <c r="EP233" s="60">
        <f t="shared" si="66"/>
        <v>0</v>
      </c>
      <c r="EQ233" s="61">
        <f t="shared" si="67"/>
        <v>0</v>
      </c>
      <c r="ER233" s="15">
        <f t="shared" si="68"/>
        <v>0</v>
      </c>
      <c r="ES233" s="62">
        <f t="shared" si="69"/>
        <v>0</v>
      </c>
      <c r="EU233" s="6">
        <v>226</v>
      </c>
    </row>
    <row r="234" spans="1:151" x14ac:dyDescent="0.45">
      <c r="A234" s="9">
        <v>45686</v>
      </c>
      <c r="B234" t="s">
        <v>928</v>
      </c>
      <c r="C234" s="3" t="s">
        <v>629</v>
      </c>
      <c r="D234" s="7"/>
      <c r="F234" s="43">
        <v>256</v>
      </c>
      <c r="G234" s="16">
        <f t="shared" si="55"/>
        <v>16577.300000000025</v>
      </c>
      <c r="H234" s="64" t="s">
        <v>625</v>
      </c>
      <c r="I234" s="52"/>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53"/>
      <c r="AS234" s="52"/>
      <c r="AT234" s="43"/>
      <c r="AU234" s="43"/>
      <c r="AV234" s="43"/>
      <c r="AW234" s="43"/>
      <c r="AX234" s="43"/>
      <c r="AY234" s="43"/>
      <c r="AZ234" s="43"/>
      <c r="BA234" s="43"/>
      <c r="BB234" s="43">
        <v>256</v>
      </c>
      <c r="BC234" s="43"/>
      <c r="BD234" s="43"/>
      <c r="BE234" s="43"/>
      <c r="BF234" s="43"/>
      <c r="BG234" s="43"/>
      <c r="BH234" s="43"/>
      <c r="BI234" s="43"/>
      <c r="BJ234" s="43"/>
      <c r="BK234" s="43"/>
      <c r="BL234" s="43"/>
      <c r="BM234" s="43"/>
      <c r="BN234" s="43"/>
      <c r="BO234" s="43"/>
      <c r="BP234" s="43"/>
      <c r="BQ234" s="43"/>
      <c r="BR234" s="43"/>
      <c r="BS234" s="43"/>
      <c r="BT234" s="43"/>
      <c r="BU234" s="43"/>
      <c r="BV234" s="43"/>
      <c r="BW234" s="53"/>
      <c r="BX234" s="30">
        <f t="shared" si="54"/>
        <v>0</v>
      </c>
      <c r="BY234" s="52">
        <f t="shared" si="71"/>
        <v>0</v>
      </c>
      <c r="BZ234" s="43"/>
      <c r="CA234" s="43"/>
      <c r="CB234" s="43"/>
      <c r="CC234" s="43"/>
      <c r="CD234" s="43"/>
      <c r="CE234" s="43"/>
      <c r="CF234" s="43"/>
      <c r="CG234" s="53"/>
      <c r="CH234" s="52"/>
      <c r="CI234" s="43"/>
      <c r="CJ234" s="43"/>
      <c r="CK234" s="43"/>
      <c r="CL234" s="43"/>
      <c r="CM234" s="43"/>
      <c r="CN234" s="43"/>
      <c r="CO234" s="43"/>
      <c r="CP234" s="43"/>
      <c r="CQ234" s="43">
        <f>F234</f>
        <v>256</v>
      </c>
      <c r="CR234" s="43"/>
      <c r="CS234" s="43"/>
      <c r="CT234" s="43"/>
      <c r="CU234" s="43"/>
      <c r="CV234" s="43"/>
      <c r="CW234" s="43"/>
      <c r="CX234" s="43"/>
      <c r="CY234" s="43"/>
      <c r="CZ234" s="7"/>
      <c r="DA234" s="7"/>
      <c r="DB234" s="43"/>
      <c r="DC234" s="43"/>
      <c r="DD234" s="53"/>
      <c r="DE234" s="73">
        <f t="shared" si="56"/>
        <v>0</v>
      </c>
      <c r="DG234" s="52"/>
      <c r="DH234" s="43"/>
      <c r="DI234" s="50">
        <f t="shared" si="57"/>
        <v>6628.0433333333322</v>
      </c>
      <c r="DK234" s="52"/>
      <c r="DL234" s="43"/>
      <c r="DM234" s="50">
        <f t="shared" si="58"/>
        <v>4432.51</v>
      </c>
      <c r="DO234" s="52"/>
      <c r="DP234" s="43"/>
      <c r="DQ234" s="50">
        <f t="shared" si="59"/>
        <v>7995.9800000000032</v>
      </c>
      <c r="DT234" s="52"/>
      <c r="DU234" s="43"/>
      <c r="DV234" s="50">
        <f t="shared" si="60"/>
        <v>518.17000000000007</v>
      </c>
      <c r="DX234" s="52"/>
      <c r="DY234" s="43"/>
      <c r="DZ234" s="53">
        <f t="shared" si="61"/>
        <v>617.75</v>
      </c>
      <c r="EB234" s="52"/>
      <c r="EC234" s="43"/>
      <c r="ED234" s="53">
        <f t="shared" si="62"/>
        <v>500</v>
      </c>
      <c r="EF234" s="52"/>
      <c r="EG234" s="43"/>
      <c r="EH234" s="53">
        <f t="shared" si="63"/>
        <v>1048.04</v>
      </c>
      <c r="EJ234" s="65"/>
      <c r="EK234" s="7"/>
      <c r="EL234" s="53">
        <f t="shared" si="64"/>
        <v>25.299999999999997</v>
      </c>
      <c r="EN234" s="51">
        <f t="shared" si="65"/>
        <v>-5188.4933333333101</v>
      </c>
      <c r="EP234" s="60">
        <f t="shared" si="66"/>
        <v>0</v>
      </c>
      <c r="EQ234" s="61">
        <f t="shared" si="67"/>
        <v>0</v>
      </c>
      <c r="ER234" s="15">
        <f t="shared" si="68"/>
        <v>0</v>
      </c>
      <c r="ES234" s="163">
        <f t="shared" si="69"/>
        <v>0</v>
      </c>
      <c r="EU234">
        <v>227</v>
      </c>
    </row>
    <row r="235" spans="1:151" x14ac:dyDescent="0.45">
      <c r="A235" s="9">
        <v>45686</v>
      </c>
      <c r="B235" t="s">
        <v>929</v>
      </c>
      <c r="C235" s="4" t="s">
        <v>633</v>
      </c>
      <c r="D235" s="7"/>
      <c r="E235">
        <v>16.05</v>
      </c>
      <c r="F235" s="43"/>
      <c r="G235" s="16">
        <f t="shared" si="55"/>
        <v>16593.350000000024</v>
      </c>
      <c r="H235" s="64" t="s">
        <v>625</v>
      </c>
      <c r="I235" s="52"/>
      <c r="J235" s="43"/>
      <c r="K235" s="43"/>
      <c r="L235" s="43"/>
      <c r="M235" s="43"/>
      <c r="N235" s="43"/>
      <c r="O235" s="43"/>
      <c r="P235" s="43"/>
      <c r="Q235" s="43"/>
      <c r="R235" s="43"/>
      <c r="S235" s="43"/>
      <c r="T235" s="43"/>
      <c r="U235" s="43"/>
      <c r="V235" s="43"/>
      <c r="W235" s="43"/>
      <c r="X235" s="43"/>
      <c r="Y235" s="43"/>
      <c r="Z235" s="43"/>
      <c r="AA235" s="43"/>
      <c r="AB235" s="43">
        <v>16.05</v>
      </c>
      <c r="AC235" s="43"/>
      <c r="AD235" s="43"/>
      <c r="AE235" s="43"/>
      <c r="AF235" s="43"/>
      <c r="AG235" s="43"/>
      <c r="AH235" s="43"/>
      <c r="AI235" s="43"/>
      <c r="AJ235" s="43"/>
      <c r="AK235" s="43"/>
      <c r="AL235" s="43"/>
      <c r="AM235" s="43"/>
      <c r="AN235" s="43"/>
      <c r="AO235" s="43"/>
      <c r="AP235" s="43"/>
      <c r="AQ235" s="43"/>
      <c r="AR235" s="53"/>
      <c r="AS235" s="52"/>
      <c r="AT235" s="43"/>
      <c r="AU235" s="43"/>
      <c r="AV235" s="43"/>
      <c r="AW235" s="43"/>
      <c r="AX235" s="43"/>
      <c r="AY235" s="43"/>
      <c r="AZ235" s="43"/>
      <c r="BA235" s="43"/>
      <c r="BB235" s="43"/>
      <c r="BC235" s="43"/>
      <c r="BD235" s="43"/>
      <c r="BE235" s="43"/>
      <c r="BF235" s="43"/>
      <c r="BG235" s="43"/>
      <c r="BH235" s="43"/>
      <c r="BI235" s="43"/>
      <c r="BJ235" s="43"/>
      <c r="BK235" s="43"/>
      <c r="BL235" s="43"/>
      <c r="BM235" s="43"/>
      <c r="BN235" s="43"/>
      <c r="BO235" s="43"/>
      <c r="BP235" s="43"/>
      <c r="BQ235" s="43"/>
      <c r="BR235" s="43"/>
      <c r="BS235" s="43"/>
      <c r="BT235" s="43"/>
      <c r="BU235" s="43"/>
      <c r="BV235" s="43"/>
      <c r="BW235" s="53"/>
      <c r="BX235" s="30">
        <f t="shared" si="54"/>
        <v>0</v>
      </c>
      <c r="BY235" s="52">
        <f t="shared" si="71"/>
        <v>0</v>
      </c>
      <c r="BZ235" s="48">
        <f t="shared" ref="BZ235:BZ245" si="72">E235</f>
        <v>16.05</v>
      </c>
      <c r="CA235" s="43"/>
      <c r="CB235" s="43"/>
      <c r="CC235" s="43"/>
      <c r="CD235" s="43"/>
      <c r="CE235" s="43"/>
      <c r="CF235" s="43"/>
      <c r="CG235" s="53"/>
      <c r="CH235" s="52"/>
      <c r="CI235" s="43"/>
      <c r="CJ235" s="43"/>
      <c r="CK235" s="43"/>
      <c r="CL235" s="43"/>
      <c r="CM235" s="43"/>
      <c r="CN235" s="43"/>
      <c r="CO235" s="43"/>
      <c r="CP235" s="43"/>
      <c r="CQ235" s="43"/>
      <c r="CR235" s="43"/>
      <c r="CS235" s="43"/>
      <c r="CT235" s="43"/>
      <c r="CU235" s="43"/>
      <c r="CV235" s="43"/>
      <c r="CW235" s="43"/>
      <c r="CX235" s="43"/>
      <c r="CY235" s="43"/>
      <c r="CZ235" s="7"/>
      <c r="DA235" s="7"/>
      <c r="DB235" s="43"/>
      <c r="DC235" s="43"/>
      <c r="DD235" s="53"/>
      <c r="DE235" s="73">
        <f t="shared" si="56"/>
        <v>0</v>
      </c>
      <c r="DG235" s="52"/>
      <c r="DH235" s="43"/>
      <c r="DI235" s="50">
        <f t="shared" si="57"/>
        <v>6628.0433333333322</v>
      </c>
      <c r="DK235" s="52"/>
      <c r="DL235" s="43"/>
      <c r="DM235" s="50">
        <f t="shared" si="58"/>
        <v>4432.51</v>
      </c>
      <c r="DO235" s="52"/>
      <c r="DP235" s="43"/>
      <c r="DQ235" s="50">
        <f t="shared" si="59"/>
        <v>7995.9800000000032</v>
      </c>
      <c r="DT235" s="52"/>
      <c r="DU235" s="43"/>
      <c r="DV235" s="50">
        <f t="shared" si="60"/>
        <v>518.17000000000007</v>
      </c>
      <c r="DX235" s="52"/>
      <c r="DY235" s="43"/>
      <c r="DZ235" s="53">
        <f t="shared" si="61"/>
        <v>617.75</v>
      </c>
      <c r="EB235" s="52"/>
      <c r="EC235" s="43"/>
      <c r="ED235" s="53">
        <f t="shared" si="62"/>
        <v>500</v>
      </c>
      <c r="EF235" s="52"/>
      <c r="EG235" s="43"/>
      <c r="EH235" s="53">
        <f t="shared" si="63"/>
        <v>1048.04</v>
      </c>
      <c r="EJ235" s="65"/>
      <c r="EK235" s="7"/>
      <c r="EL235" s="53">
        <f t="shared" si="64"/>
        <v>25.299999999999997</v>
      </c>
      <c r="EN235" s="51">
        <f t="shared" si="65"/>
        <v>-5172.4433333333109</v>
      </c>
      <c r="EP235" s="60">
        <f t="shared" si="66"/>
        <v>0</v>
      </c>
      <c r="EQ235" s="61">
        <f t="shared" si="67"/>
        <v>0</v>
      </c>
      <c r="ER235" s="15">
        <f t="shared" si="68"/>
        <v>0</v>
      </c>
      <c r="ES235" s="62">
        <f t="shared" si="69"/>
        <v>-16.05</v>
      </c>
      <c r="EU235" s="6">
        <v>228</v>
      </c>
    </row>
    <row r="236" spans="1:151" x14ac:dyDescent="0.45">
      <c r="A236" s="9">
        <v>45686</v>
      </c>
      <c r="B236" t="s">
        <v>930</v>
      </c>
      <c r="C236" s="4" t="s">
        <v>633</v>
      </c>
      <c r="D236" s="7"/>
      <c r="E236">
        <v>3.21</v>
      </c>
      <c r="F236" s="43"/>
      <c r="G236" s="16">
        <f t="shared" si="55"/>
        <v>16596.560000000023</v>
      </c>
      <c r="H236" s="64" t="s">
        <v>625</v>
      </c>
      <c r="I236" s="52"/>
      <c r="J236" s="43"/>
      <c r="K236" s="43"/>
      <c r="L236" s="43"/>
      <c r="M236" s="43"/>
      <c r="N236" s="43"/>
      <c r="O236" s="43"/>
      <c r="P236" s="43"/>
      <c r="Q236" s="43"/>
      <c r="R236" s="43"/>
      <c r="S236" s="43"/>
      <c r="T236" s="43"/>
      <c r="U236" s="43"/>
      <c r="V236" s="43"/>
      <c r="W236" s="43"/>
      <c r="X236" s="43"/>
      <c r="Y236" s="43"/>
      <c r="Z236" s="43">
        <v>3.21</v>
      </c>
      <c r="AA236" s="43"/>
      <c r="AB236" s="43"/>
      <c r="AC236" s="43"/>
      <c r="AD236" s="43"/>
      <c r="AE236" s="43"/>
      <c r="AF236" s="43"/>
      <c r="AG236" s="43"/>
      <c r="AH236" s="43"/>
      <c r="AI236" s="43"/>
      <c r="AJ236" s="43"/>
      <c r="AK236" s="43"/>
      <c r="AL236" s="43"/>
      <c r="AM236" s="43"/>
      <c r="AN236" s="43"/>
      <c r="AO236" s="43"/>
      <c r="AP236" s="43"/>
      <c r="AQ236" s="43"/>
      <c r="AR236" s="53"/>
      <c r="AS236" s="52"/>
      <c r="AT236" s="43"/>
      <c r="AU236" s="43"/>
      <c r="AV236" s="43"/>
      <c r="AW236" s="43"/>
      <c r="AX236" s="43"/>
      <c r="AY236" s="43"/>
      <c r="AZ236" s="43"/>
      <c r="BA236" s="43"/>
      <c r="BB236" s="43"/>
      <c r="BC236" s="43"/>
      <c r="BD236" s="43"/>
      <c r="BE236" s="43"/>
      <c r="BF236" s="43"/>
      <c r="BG236" s="43"/>
      <c r="BH236" s="43"/>
      <c r="BI236" s="43"/>
      <c r="BJ236" s="43"/>
      <c r="BK236" s="43"/>
      <c r="BL236" s="43"/>
      <c r="BM236" s="43"/>
      <c r="BN236" s="43"/>
      <c r="BO236" s="43"/>
      <c r="BP236" s="43"/>
      <c r="BQ236" s="43"/>
      <c r="BR236" s="43"/>
      <c r="BS236" s="43"/>
      <c r="BT236" s="43"/>
      <c r="BU236" s="43"/>
      <c r="BV236" s="43"/>
      <c r="BW236" s="53"/>
      <c r="BX236" s="30">
        <f t="shared" si="54"/>
        <v>0</v>
      </c>
      <c r="BY236" s="52">
        <f t="shared" si="71"/>
        <v>0</v>
      </c>
      <c r="BZ236" s="48">
        <f t="shared" si="72"/>
        <v>3.21</v>
      </c>
      <c r="CA236" s="43"/>
      <c r="CB236" s="43"/>
      <c r="CC236" s="43"/>
      <c r="CD236" s="43"/>
      <c r="CE236" s="43"/>
      <c r="CF236" s="43"/>
      <c r="CG236" s="53"/>
      <c r="CH236" s="52"/>
      <c r="CI236" s="43"/>
      <c r="CJ236" s="43"/>
      <c r="CK236" s="43"/>
      <c r="CL236" s="43"/>
      <c r="CM236" s="43"/>
      <c r="CN236" s="43"/>
      <c r="CO236" s="43"/>
      <c r="CP236" s="43"/>
      <c r="CQ236" s="43"/>
      <c r="CR236" s="43"/>
      <c r="CS236" s="43"/>
      <c r="CT236" s="43"/>
      <c r="CU236" s="43"/>
      <c r="CV236" s="43"/>
      <c r="CW236" s="43"/>
      <c r="CX236" s="43"/>
      <c r="CY236" s="43"/>
      <c r="CZ236" s="7"/>
      <c r="DA236" s="7"/>
      <c r="DB236" s="43"/>
      <c r="DC236" s="43"/>
      <c r="DD236" s="53"/>
      <c r="DE236" s="73">
        <f t="shared" si="56"/>
        <v>0</v>
      </c>
      <c r="DG236" s="52"/>
      <c r="DH236" s="43"/>
      <c r="DI236" s="50">
        <f t="shared" si="57"/>
        <v>6628.0433333333322</v>
      </c>
      <c r="DK236" s="52"/>
      <c r="DL236" s="43"/>
      <c r="DM236" s="50">
        <f t="shared" si="58"/>
        <v>4432.51</v>
      </c>
      <c r="DO236" s="52"/>
      <c r="DP236" s="43"/>
      <c r="DQ236" s="50">
        <f t="shared" si="59"/>
        <v>7995.9800000000032</v>
      </c>
      <c r="DT236" s="52"/>
      <c r="DU236" s="43"/>
      <c r="DV236" s="50">
        <f t="shared" si="60"/>
        <v>518.17000000000007</v>
      </c>
      <c r="DX236" s="52"/>
      <c r="DY236" s="43"/>
      <c r="DZ236" s="53">
        <f t="shared" si="61"/>
        <v>617.75</v>
      </c>
      <c r="EB236" s="52"/>
      <c r="EC236" s="43"/>
      <c r="ED236" s="53">
        <f t="shared" si="62"/>
        <v>500</v>
      </c>
      <c r="EF236" s="52"/>
      <c r="EG236" s="43"/>
      <c r="EH236" s="53">
        <f t="shared" si="63"/>
        <v>1048.04</v>
      </c>
      <c r="EJ236" s="65"/>
      <c r="EK236" s="7"/>
      <c r="EL236" s="53">
        <f t="shared" si="64"/>
        <v>25.299999999999997</v>
      </c>
      <c r="EN236" s="51">
        <f t="shared" si="65"/>
        <v>-5169.2333333333117</v>
      </c>
      <c r="EP236" s="60">
        <f t="shared" si="66"/>
        <v>0</v>
      </c>
      <c r="EQ236" s="61">
        <f t="shared" si="67"/>
        <v>0</v>
      </c>
      <c r="ER236" s="15">
        <f t="shared" si="68"/>
        <v>0</v>
      </c>
      <c r="ES236" s="163">
        <f t="shared" si="69"/>
        <v>0</v>
      </c>
      <c r="EU236">
        <v>229</v>
      </c>
    </row>
    <row r="237" spans="1:151" x14ac:dyDescent="0.45">
      <c r="A237" s="9">
        <v>45686</v>
      </c>
      <c r="B237" t="s">
        <v>931</v>
      </c>
      <c r="C237" s="4" t="s">
        <v>633</v>
      </c>
      <c r="D237" s="7"/>
      <c r="E237">
        <v>19.260000000000002</v>
      </c>
      <c r="F237" s="43"/>
      <c r="G237" s="16">
        <f t="shared" si="55"/>
        <v>16615.820000000022</v>
      </c>
      <c r="H237" s="64" t="s">
        <v>625</v>
      </c>
      <c r="I237" s="52"/>
      <c r="J237" s="43"/>
      <c r="K237" s="43"/>
      <c r="L237" s="43"/>
      <c r="M237" s="43"/>
      <c r="N237" s="43"/>
      <c r="O237" s="43"/>
      <c r="P237" s="43"/>
      <c r="Q237" s="43"/>
      <c r="R237" s="43"/>
      <c r="S237" s="43"/>
      <c r="T237" s="43"/>
      <c r="U237" s="43"/>
      <c r="V237" s="43"/>
      <c r="W237" s="43"/>
      <c r="X237" s="43"/>
      <c r="Y237" s="43">
        <v>19.260000000000002</v>
      </c>
      <c r="Z237" s="43"/>
      <c r="AA237" s="43"/>
      <c r="AB237" s="43"/>
      <c r="AC237" s="43"/>
      <c r="AD237" s="43"/>
      <c r="AE237" s="43"/>
      <c r="AF237" s="43"/>
      <c r="AG237" s="43"/>
      <c r="AH237" s="43"/>
      <c r="AI237" s="43"/>
      <c r="AJ237" s="43"/>
      <c r="AK237" s="43"/>
      <c r="AL237" s="43"/>
      <c r="AM237" s="43"/>
      <c r="AN237" s="43"/>
      <c r="AO237" s="43"/>
      <c r="AP237" s="43"/>
      <c r="AQ237" s="43"/>
      <c r="AR237" s="53"/>
      <c r="AS237" s="52"/>
      <c r="AT237" s="43"/>
      <c r="AU237" s="43"/>
      <c r="AV237" s="43"/>
      <c r="AW237" s="43"/>
      <c r="AX237" s="43"/>
      <c r="AY237" s="43"/>
      <c r="AZ237" s="43"/>
      <c r="BA237" s="43"/>
      <c r="BB237" s="43"/>
      <c r="BC237" s="43"/>
      <c r="BD237" s="43"/>
      <c r="BE237" s="43"/>
      <c r="BF237" s="43"/>
      <c r="BG237" s="43"/>
      <c r="BH237" s="43"/>
      <c r="BI237" s="43"/>
      <c r="BJ237" s="43"/>
      <c r="BK237" s="43"/>
      <c r="BL237" s="43"/>
      <c r="BM237" s="43"/>
      <c r="BN237" s="43"/>
      <c r="BO237" s="43"/>
      <c r="BP237" s="43"/>
      <c r="BQ237" s="43"/>
      <c r="BR237" s="43"/>
      <c r="BS237" s="43"/>
      <c r="BT237" s="43"/>
      <c r="BU237" s="43"/>
      <c r="BV237" s="43"/>
      <c r="BW237" s="53"/>
      <c r="BX237" s="30">
        <f t="shared" si="54"/>
        <v>0</v>
      </c>
      <c r="BY237" s="52">
        <f t="shared" si="71"/>
        <v>0</v>
      </c>
      <c r="BZ237" s="48">
        <f t="shared" si="72"/>
        <v>19.260000000000002</v>
      </c>
      <c r="CA237" s="43"/>
      <c r="CB237" s="43"/>
      <c r="CC237" s="43"/>
      <c r="CD237" s="43"/>
      <c r="CE237" s="43"/>
      <c r="CF237" s="43"/>
      <c r="CG237" s="53"/>
      <c r="CH237" s="52"/>
      <c r="CI237" s="43"/>
      <c r="CJ237" s="43"/>
      <c r="CK237" s="43"/>
      <c r="CL237" s="43"/>
      <c r="CM237" s="43"/>
      <c r="CN237" s="43"/>
      <c r="CO237" s="43"/>
      <c r="CP237" s="43"/>
      <c r="CQ237" s="43"/>
      <c r="CR237" s="43"/>
      <c r="CS237" s="43"/>
      <c r="CT237" s="43"/>
      <c r="CU237" s="43"/>
      <c r="CV237" s="43"/>
      <c r="CW237" s="43"/>
      <c r="CX237" s="43"/>
      <c r="CY237" s="43"/>
      <c r="CZ237" s="7"/>
      <c r="DA237" s="7"/>
      <c r="DB237" s="43"/>
      <c r="DC237" s="43"/>
      <c r="DD237" s="53"/>
      <c r="DE237" s="73">
        <f t="shared" si="56"/>
        <v>0</v>
      </c>
      <c r="DG237" s="52"/>
      <c r="DH237" s="43"/>
      <c r="DI237" s="50">
        <f t="shared" si="57"/>
        <v>6628.0433333333322</v>
      </c>
      <c r="DK237" s="52"/>
      <c r="DL237" s="43"/>
      <c r="DM237" s="50">
        <f t="shared" si="58"/>
        <v>4432.51</v>
      </c>
      <c r="DO237" s="52"/>
      <c r="DP237" s="43"/>
      <c r="DQ237" s="50">
        <f t="shared" si="59"/>
        <v>7995.9800000000032</v>
      </c>
      <c r="DT237" s="52"/>
      <c r="DU237" s="43"/>
      <c r="DV237" s="50">
        <f t="shared" si="60"/>
        <v>518.17000000000007</v>
      </c>
      <c r="DX237" s="52"/>
      <c r="DY237" s="43"/>
      <c r="DZ237" s="53">
        <f t="shared" si="61"/>
        <v>617.75</v>
      </c>
      <c r="EB237" s="52"/>
      <c r="EC237" s="43"/>
      <c r="ED237" s="53">
        <f t="shared" si="62"/>
        <v>500</v>
      </c>
      <c r="EF237" s="52"/>
      <c r="EG237" s="43"/>
      <c r="EH237" s="53">
        <f t="shared" si="63"/>
        <v>1048.04</v>
      </c>
      <c r="EJ237" s="65"/>
      <c r="EK237" s="7"/>
      <c r="EL237" s="53">
        <f t="shared" si="64"/>
        <v>25.299999999999997</v>
      </c>
      <c r="EN237" s="51">
        <f t="shared" si="65"/>
        <v>-5149.9733333333133</v>
      </c>
      <c r="EP237" s="60">
        <f t="shared" si="66"/>
        <v>0</v>
      </c>
      <c r="EQ237" s="61">
        <f t="shared" si="67"/>
        <v>0</v>
      </c>
      <c r="ER237" s="15">
        <f t="shared" si="68"/>
        <v>0</v>
      </c>
      <c r="ES237" s="62">
        <f t="shared" si="69"/>
        <v>0</v>
      </c>
      <c r="EU237" s="6">
        <v>230</v>
      </c>
    </row>
    <row r="238" spans="1:151" x14ac:dyDescent="0.45">
      <c r="A238" s="9">
        <v>45686</v>
      </c>
      <c r="B238" t="s">
        <v>932</v>
      </c>
      <c r="C238" s="4" t="s">
        <v>633</v>
      </c>
      <c r="D238" s="7"/>
      <c r="E238">
        <v>38.68</v>
      </c>
      <c r="F238" s="43"/>
      <c r="G238" s="16">
        <f t="shared" si="55"/>
        <v>16654.500000000022</v>
      </c>
      <c r="H238" s="64" t="s">
        <v>625</v>
      </c>
      <c r="I238" s="52"/>
      <c r="J238" s="43"/>
      <c r="K238" s="43"/>
      <c r="L238" s="43"/>
      <c r="M238" s="43"/>
      <c r="N238" s="43"/>
      <c r="O238" s="43"/>
      <c r="P238" s="43"/>
      <c r="Q238" s="43"/>
      <c r="R238" s="43"/>
      <c r="S238" s="43"/>
      <c r="T238" s="43"/>
      <c r="U238" s="43"/>
      <c r="V238" s="43"/>
      <c r="W238" s="43"/>
      <c r="X238" s="43"/>
      <c r="Y238" s="43">
        <v>38.68</v>
      </c>
      <c r="Z238" s="43"/>
      <c r="AA238" s="43"/>
      <c r="AB238" s="43"/>
      <c r="AC238" s="43"/>
      <c r="AD238" s="43"/>
      <c r="AE238" s="43"/>
      <c r="AF238" s="43"/>
      <c r="AG238" s="43"/>
      <c r="AH238" s="43"/>
      <c r="AI238" s="43"/>
      <c r="AJ238" s="43"/>
      <c r="AK238" s="43"/>
      <c r="AL238" s="43"/>
      <c r="AM238" s="43"/>
      <c r="AN238" s="43"/>
      <c r="AO238" s="43"/>
      <c r="AP238" s="43"/>
      <c r="AQ238" s="43"/>
      <c r="AR238" s="53"/>
      <c r="AS238" s="52"/>
      <c r="AT238" s="43"/>
      <c r="AU238" s="43"/>
      <c r="AV238" s="43"/>
      <c r="AW238" s="43"/>
      <c r="AX238" s="43"/>
      <c r="AY238" s="43"/>
      <c r="AZ238" s="43"/>
      <c r="BA238" s="43"/>
      <c r="BB238" s="43"/>
      <c r="BC238" s="43"/>
      <c r="BD238" s="43"/>
      <c r="BE238" s="43"/>
      <c r="BF238" s="43"/>
      <c r="BG238" s="43"/>
      <c r="BH238" s="43"/>
      <c r="BI238" s="43"/>
      <c r="BJ238" s="43"/>
      <c r="BK238" s="43"/>
      <c r="BL238" s="43"/>
      <c r="BM238" s="43"/>
      <c r="BN238" s="43"/>
      <c r="BO238" s="43"/>
      <c r="BP238" s="43"/>
      <c r="BQ238" s="43"/>
      <c r="BR238" s="43"/>
      <c r="BS238" s="43"/>
      <c r="BT238" s="43"/>
      <c r="BU238" s="43"/>
      <c r="BV238" s="43"/>
      <c r="BW238" s="53"/>
      <c r="BX238" s="30">
        <f t="shared" si="54"/>
        <v>0</v>
      </c>
      <c r="BY238" s="52">
        <f t="shared" si="71"/>
        <v>0</v>
      </c>
      <c r="BZ238" s="48">
        <f t="shared" si="72"/>
        <v>38.68</v>
      </c>
      <c r="CA238" s="43"/>
      <c r="CB238" s="43"/>
      <c r="CC238" s="43"/>
      <c r="CD238" s="43"/>
      <c r="CE238" s="43"/>
      <c r="CF238" s="43"/>
      <c r="CG238" s="53"/>
      <c r="CH238" s="52"/>
      <c r="CI238" s="43"/>
      <c r="CJ238" s="43"/>
      <c r="CK238" s="43"/>
      <c r="CL238" s="43"/>
      <c r="CM238" s="43"/>
      <c r="CN238" s="43"/>
      <c r="CO238" s="43"/>
      <c r="CP238" s="43"/>
      <c r="CQ238" s="43"/>
      <c r="CR238" s="43"/>
      <c r="CS238" s="43"/>
      <c r="CT238" s="43"/>
      <c r="CU238" s="43"/>
      <c r="CV238" s="43"/>
      <c r="CW238" s="43"/>
      <c r="CX238" s="43"/>
      <c r="CY238" s="43"/>
      <c r="CZ238" s="7"/>
      <c r="DA238" s="7"/>
      <c r="DB238" s="43"/>
      <c r="DC238" s="43"/>
      <c r="DD238" s="53"/>
      <c r="DE238" s="73">
        <f t="shared" si="56"/>
        <v>0</v>
      </c>
      <c r="DG238" s="52"/>
      <c r="DH238" s="43"/>
      <c r="DI238" s="50">
        <f t="shared" si="57"/>
        <v>6628.0433333333322</v>
      </c>
      <c r="DK238" s="52"/>
      <c r="DL238" s="43"/>
      <c r="DM238" s="50">
        <f t="shared" si="58"/>
        <v>4432.51</v>
      </c>
      <c r="DO238" s="52"/>
      <c r="DP238" s="43"/>
      <c r="DQ238" s="50">
        <f t="shared" si="59"/>
        <v>7995.9800000000032</v>
      </c>
      <c r="DT238" s="52"/>
      <c r="DU238" s="43"/>
      <c r="DV238" s="50">
        <f t="shared" si="60"/>
        <v>518.17000000000007</v>
      </c>
      <c r="DX238" s="52"/>
      <c r="DY238" s="43"/>
      <c r="DZ238" s="53">
        <f t="shared" si="61"/>
        <v>617.75</v>
      </c>
      <c r="EB238" s="52"/>
      <c r="EC238" s="43"/>
      <c r="ED238" s="53">
        <f t="shared" si="62"/>
        <v>500</v>
      </c>
      <c r="EF238" s="52"/>
      <c r="EG238" s="43"/>
      <c r="EH238" s="53">
        <f t="shared" si="63"/>
        <v>1048.04</v>
      </c>
      <c r="EJ238" s="65"/>
      <c r="EK238" s="7"/>
      <c r="EL238" s="53">
        <f t="shared" si="64"/>
        <v>25.299999999999997</v>
      </c>
      <c r="EN238" s="51">
        <f t="shared" si="65"/>
        <v>-5111.2933333333131</v>
      </c>
      <c r="EP238" s="60">
        <f t="shared" si="66"/>
        <v>0</v>
      </c>
      <c r="EQ238" s="61">
        <f t="shared" si="67"/>
        <v>0</v>
      </c>
      <c r="ER238" s="15">
        <f t="shared" si="68"/>
        <v>0</v>
      </c>
      <c r="ES238" s="163">
        <f t="shared" si="69"/>
        <v>0</v>
      </c>
      <c r="EU238">
        <v>231</v>
      </c>
    </row>
    <row r="239" spans="1:151" x14ac:dyDescent="0.45">
      <c r="A239" s="9">
        <v>45686</v>
      </c>
      <c r="B239" t="s">
        <v>933</v>
      </c>
      <c r="C239" s="4" t="s">
        <v>633</v>
      </c>
      <c r="D239" s="7"/>
      <c r="E239">
        <v>12.84</v>
      </c>
      <c r="F239" s="43"/>
      <c r="G239" s="16">
        <f t="shared" si="55"/>
        <v>16667.340000000022</v>
      </c>
      <c r="H239" s="64" t="s">
        <v>625</v>
      </c>
      <c r="I239" s="52"/>
      <c r="J239" s="43"/>
      <c r="K239" s="43"/>
      <c r="L239" s="43"/>
      <c r="M239" s="43"/>
      <c r="N239" s="43"/>
      <c r="O239" s="43"/>
      <c r="P239" s="43"/>
      <c r="Q239" s="43"/>
      <c r="R239" s="43"/>
      <c r="S239" s="43"/>
      <c r="T239" s="43"/>
      <c r="U239" s="43"/>
      <c r="V239" s="43"/>
      <c r="W239" s="43"/>
      <c r="X239" s="43"/>
      <c r="Y239" s="43"/>
      <c r="Z239" s="43">
        <v>12.84</v>
      </c>
      <c r="AA239" s="43"/>
      <c r="AB239" s="43"/>
      <c r="AC239" s="43"/>
      <c r="AD239" s="43"/>
      <c r="AE239" s="43"/>
      <c r="AF239" s="43"/>
      <c r="AG239" s="43"/>
      <c r="AH239" s="43"/>
      <c r="AI239" s="43"/>
      <c r="AJ239" s="43"/>
      <c r="AK239" s="43"/>
      <c r="AL239" s="43"/>
      <c r="AM239" s="43"/>
      <c r="AN239" s="43"/>
      <c r="AO239" s="43"/>
      <c r="AP239" s="43"/>
      <c r="AQ239" s="43"/>
      <c r="AR239" s="53"/>
      <c r="AS239" s="52"/>
      <c r="AT239" s="43"/>
      <c r="AU239" s="43"/>
      <c r="AV239" s="43"/>
      <c r="AW239" s="43"/>
      <c r="AX239" s="43"/>
      <c r="AY239" s="43"/>
      <c r="AZ239" s="43"/>
      <c r="BA239" s="43"/>
      <c r="BB239" s="43"/>
      <c r="BC239" s="43"/>
      <c r="BD239" s="43"/>
      <c r="BE239" s="43"/>
      <c r="BF239" s="43"/>
      <c r="BG239" s="43"/>
      <c r="BH239" s="43"/>
      <c r="BI239" s="43"/>
      <c r="BJ239" s="43"/>
      <c r="BK239" s="43"/>
      <c r="BL239" s="43"/>
      <c r="BM239" s="43"/>
      <c r="BN239" s="43"/>
      <c r="BO239" s="43"/>
      <c r="BP239" s="43"/>
      <c r="BQ239" s="43"/>
      <c r="BR239" s="43"/>
      <c r="BS239" s="43"/>
      <c r="BT239" s="43"/>
      <c r="BU239" s="43"/>
      <c r="BV239" s="43"/>
      <c r="BW239" s="53"/>
      <c r="BX239" s="30">
        <f t="shared" si="54"/>
        <v>0</v>
      </c>
      <c r="BY239" s="52">
        <f t="shared" si="71"/>
        <v>0</v>
      </c>
      <c r="BZ239" s="48">
        <f t="shared" si="72"/>
        <v>12.84</v>
      </c>
      <c r="CA239" s="43"/>
      <c r="CB239" s="43"/>
      <c r="CC239" s="43"/>
      <c r="CD239" s="43"/>
      <c r="CE239" s="43"/>
      <c r="CF239" s="43"/>
      <c r="CG239" s="53"/>
      <c r="CH239" s="52"/>
      <c r="CI239" s="43"/>
      <c r="CJ239" s="43"/>
      <c r="CK239" s="43"/>
      <c r="CL239" s="43"/>
      <c r="CM239" s="43"/>
      <c r="CN239" s="43"/>
      <c r="CO239" s="43"/>
      <c r="CP239" s="43"/>
      <c r="CQ239" s="43"/>
      <c r="CR239" s="43"/>
      <c r="CS239" s="43"/>
      <c r="CT239" s="43"/>
      <c r="CU239" s="43"/>
      <c r="CV239" s="43"/>
      <c r="CW239" s="43"/>
      <c r="CX239" s="43"/>
      <c r="CY239" s="43"/>
      <c r="CZ239" s="7"/>
      <c r="DA239" s="7"/>
      <c r="DB239" s="43"/>
      <c r="DC239" s="43"/>
      <c r="DD239" s="53"/>
      <c r="DE239" s="73">
        <f t="shared" si="56"/>
        <v>0</v>
      </c>
      <c r="DG239" s="52"/>
      <c r="DH239" s="43"/>
      <c r="DI239" s="50">
        <f t="shared" si="57"/>
        <v>6628.0433333333322</v>
      </c>
      <c r="DK239" s="52"/>
      <c r="DL239" s="43"/>
      <c r="DM239" s="50">
        <f t="shared" si="58"/>
        <v>4432.51</v>
      </c>
      <c r="DO239" s="52"/>
      <c r="DP239" s="43"/>
      <c r="DQ239" s="50">
        <f t="shared" si="59"/>
        <v>7995.9800000000032</v>
      </c>
      <c r="DT239" s="52"/>
      <c r="DU239" s="43"/>
      <c r="DV239" s="50">
        <f t="shared" si="60"/>
        <v>518.17000000000007</v>
      </c>
      <c r="DX239" s="52"/>
      <c r="DY239" s="43"/>
      <c r="DZ239" s="53">
        <f t="shared" si="61"/>
        <v>617.75</v>
      </c>
      <c r="EB239" s="52"/>
      <c r="EC239" s="43"/>
      <c r="ED239" s="53">
        <f t="shared" si="62"/>
        <v>500</v>
      </c>
      <c r="EF239" s="52"/>
      <c r="EG239" s="43"/>
      <c r="EH239" s="53">
        <f t="shared" si="63"/>
        <v>1048.04</v>
      </c>
      <c r="EJ239" s="65"/>
      <c r="EK239" s="7"/>
      <c r="EL239" s="53">
        <f t="shared" si="64"/>
        <v>25.299999999999997</v>
      </c>
      <c r="EN239" s="51">
        <f t="shared" si="65"/>
        <v>-5098.4533333333129</v>
      </c>
      <c r="EP239" s="60">
        <f t="shared" si="66"/>
        <v>0</v>
      </c>
      <c r="EQ239" s="61">
        <f t="shared" si="67"/>
        <v>0</v>
      </c>
      <c r="ER239" s="15">
        <f t="shared" si="68"/>
        <v>0</v>
      </c>
      <c r="ES239" s="62">
        <f t="shared" si="69"/>
        <v>0</v>
      </c>
      <c r="EU239" s="6">
        <v>232</v>
      </c>
    </row>
    <row r="240" spans="1:151" x14ac:dyDescent="0.45">
      <c r="A240" s="9">
        <v>45686</v>
      </c>
      <c r="B240" t="s">
        <v>934</v>
      </c>
      <c r="C240" s="4" t="s">
        <v>633</v>
      </c>
      <c r="D240" s="7"/>
      <c r="E240">
        <v>16.05</v>
      </c>
      <c r="F240" s="43"/>
      <c r="G240" s="16">
        <f t="shared" si="55"/>
        <v>16683.390000000021</v>
      </c>
      <c r="H240" s="64" t="s">
        <v>625</v>
      </c>
      <c r="I240" s="52"/>
      <c r="J240" s="43"/>
      <c r="K240" s="43"/>
      <c r="L240" s="43"/>
      <c r="M240" s="43"/>
      <c r="N240" s="43"/>
      <c r="O240" s="43"/>
      <c r="P240" s="43"/>
      <c r="Q240" s="43"/>
      <c r="R240" s="43"/>
      <c r="S240" s="43"/>
      <c r="T240" s="43"/>
      <c r="U240" s="43"/>
      <c r="V240" s="43"/>
      <c r="W240" s="43"/>
      <c r="X240" s="43">
        <v>16.05</v>
      </c>
      <c r="Y240" s="43"/>
      <c r="Z240" s="43"/>
      <c r="AA240" s="43"/>
      <c r="AB240" s="43"/>
      <c r="AC240" s="43"/>
      <c r="AD240" s="43"/>
      <c r="AE240" s="43"/>
      <c r="AF240" s="43"/>
      <c r="AG240" s="43"/>
      <c r="AH240" s="43"/>
      <c r="AI240" s="43"/>
      <c r="AJ240" s="43"/>
      <c r="AK240" s="43"/>
      <c r="AL240" s="43"/>
      <c r="AM240" s="43"/>
      <c r="AN240" s="43"/>
      <c r="AO240" s="43"/>
      <c r="AP240" s="43"/>
      <c r="AQ240" s="43"/>
      <c r="AR240" s="53"/>
      <c r="AS240" s="52"/>
      <c r="AT240" s="43"/>
      <c r="AU240" s="43"/>
      <c r="AV240" s="43"/>
      <c r="AW240" s="43"/>
      <c r="AX240" s="43"/>
      <c r="AY240" s="43"/>
      <c r="AZ240" s="43"/>
      <c r="BA240" s="43"/>
      <c r="BB240" s="43"/>
      <c r="BC240" s="43"/>
      <c r="BD240" s="43"/>
      <c r="BE240" s="43"/>
      <c r="BF240" s="43"/>
      <c r="BG240" s="43"/>
      <c r="BH240" s="43"/>
      <c r="BI240" s="43"/>
      <c r="BJ240" s="43"/>
      <c r="BK240" s="43"/>
      <c r="BL240" s="43"/>
      <c r="BM240" s="43"/>
      <c r="BN240" s="43"/>
      <c r="BO240" s="43"/>
      <c r="BP240" s="43"/>
      <c r="BQ240" s="43"/>
      <c r="BR240" s="43"/>
      <c r="BS240" s="43"/>
      <c r="BT240" s="43"/>
      <c r="BU240" s="43"/>
      <c r="BV240" s="43"/>
      <c r="BW240" s="53"/>
      <c r="BX240" s="30">
        <f t="shared" si="54"/>
        <v>0</v>
      </c>
      <c r="BY240" s="52">
        <f t="shared" si="71"/>
        <v>0</v>
      </c>
      <c r="BZ240" s="48">
        <f t="shared" si="72"/>
        <v>16.05</v>
      </c>
      <c r="CA240" s="43"/>
      <c r="CB240" s="43"/>
      <c r="CC240" s="43"/>
      <c r="CD240" s="43"/>
      <c r="CE240" s="43"/>
      <c r="CF240" s="43"/>
      <c r="CG240" s="53"/>
      <c r="CH240" s="52"/>
      <c r="CI240" s="43"/>
      <c r="CJ240" s="43"/>
      <c r="CK240" s="43"/>
      <c r="CL240" s="43"/>
      <c r="CM240" s="43"/>
      <c r="CN240" s="43"/>
      <c r="CO240" s="43"/>
      <c r="CP240" s="43"/>
      <c r="CQ240" s="43"/>
      <c r="CR240" s="43"/>
      <c r="CS240" s="43"/>
      <c r="CT240" s="43"/>
      <c r="CU240" s="43"/>
      <c r="CV240" s="43"/>
      <c r="CW240" s="43"/>
      <c r="CX240" s="43"/>
      <c r="CY240" s="43"/>
      <c r="CZ240" s="7"/>
      <c r="DA240" s="7"/>
      <c r="DB240" s="43"/>
      <c r="DC240" s="43"/>
      <c r="DD240" s="53"/>
      <c r="DE240" s="73">
        <f t="shared" si="56"/>
        <v>0</v>
      </c>
      <c r="DG240" s="52"/>
      <c r="DH240" s="43"/>
      <c r="DI240" s="50">
        <f t="shared" si="57"/>
        <v>6628.0433333333322</v>
      </c>
      <c r="DK240" s="52"/>
      <c r="DL240" s="43"/>
      <c r="DM240" s="50">
        <f t="shared" si="58"/>
        <v>4432.51</v>
      </c>
      <c r="DO240" s="52"/>
      <c r="DP240" s="43"/>
      <c r="DQ240" s="50">
        <f t="shared" si="59"/>
        <v>7995.9800000000032</v>
      </c>
      <c r="DT240" s="52"/>
      <c r="DU240" s="43"/>
      <c r="DV240" s="50">
        <f t="shared" si="60"/>
        <v>518.17000000000007</v>
      </c>
      <c r="DX240" s="52"/>
      <c r="DY240" s="43"/>
      <c r="DZ240" s="53">
        <f t="shared" si="61"/>
        <v>617.75</v>
      </c>
      <c r="EB240" s="52"/>
      <c r="EC240" s="43"/>
      <c r="ED240" s="53">
        <f t="shared" si="62"/>
        <v>500</v>
      </c>
      <c r="EF240" s="52"/>
      <c r="EG240" s="43"/>
      <c r="EH240" s="53">
        <f t="shared" si="63"/>
        <v>1048.04</v>
      </c>
      <c r="EJ240" s="65"/>
      <c r="EK240" s="7"/>
      <c r="EL240" s="53">
        <f t="shared" si="64"/>
        <v>25.299999999999997</v>
      </c>
      <c r="EN240" s="51">
        <f t="shared" si="65"/>
        <v>-5082.4033333333136</v>
      </c>
      <c r="EP240" s="60">
        <f t="shared" si="66"/>
        <v>0</v>
      </c>
      <c r="EQ240" s="61">
        <f t="shared" si="67"/>
        <v>0</v>
      </c>
      <c r="ER240" s="15">
        <f t="shared" si="68"/>
        <v>0</v>
      </c>
      <c r="ES240" s="163">
        <f t="shared" si="69"/>
        <v>0</v>
      </c>
      <c r="EU240">
        <v>233</v>
      </c>
    </row>
    <row r="241" spans="1:151" x14ac:dyDescent="0.45">
      <c r="A241" s="9">
        <v>45687</v>
      </c>
      <c r="B241" t="s">
        <v>935</v>
      </c>
      <c r="C241" s="4" t="s">
        <v>633</v>
      </c>
      <c r="D241" s="7"/>
      <c r="E241">
        <v>16.05</v>
      </c>
      <c r="F241" s="43"/>
      <c r="G241" s="16">
        <f t="shared" si="55"/>
        <v>16699.440000000021</v>
      </c>
      <c r="H241" s="64" t="s">
        <v>625</v>
      </c>
      <c r="I241" s="52"/>
      <c r="J241" s="43"/>
      <c r="K241" s="43"/>
      <c r="L241" s="43"/>
      <c r="M241" s="43"/>
      <c r="N241" s="43"/>
      <c r="O241" s="43"/>
      <c r="P241" s="43"/>
      <c r="Q241" s="43"/>
      <c r="R241" s="43"/>
      <c r="S241" s="43"/>
      <c r="T241" s="43"/>
      <c r="U241" s="43"/>
      <c r="V241" s="43"/>
      <c r="W241" s="43"/>
      <c r="X241" s="43"/>
      <c r="Y241" s="43"/>
      <c r="Z241" s="43">
        <v>16.05</v>
      </c>
      <c r="AA241" s="43"/>
      <c r="AB241" s="43"/>
      <c r="AC241" s="43"/>
      <c r="AD241" s="43"/>
      <c r="AE241" s="43"/>
      <c r="AF241" s="43"/>
      <c r="AG241" s="43"/>
      <c r="AH241" s="43"/>
      <c r="AI241" s="43"/>
      <c r="AJ241" s="43"/>
      <c r="AK241" s="43"/>
      <c r="AL241" s="43"/>
      <c r="AM241" s="43"/>
      <c r="AN241" s="43"/>
      <c r="AO241" s="43"/>
      <c r="AP241" s="43"/>
      <c r="AQ241" s="43"/>
      <c r="AR241" s="53"/>
      <c r="AS241" s="52"/>
      <c r="AT241" s="43"/>
      <c r="AU241" s="43"/>
      <c r="AV241" s="43"/>
      <c r="AW241" s="43"/>
      <c r="AX241" s="43"/>
      <c r="AY241" s="43"/>
      <c r="AZ241" s="43"/>
      <c r="BA241" s="43"/>
      <c r="BB241" s="43"/>
      <c r="BC241" s="43"/>
      <c r="BD241" s="43"/>
      <c r="BE241" s="43"/>
      <c r="BF241" s="43"/>
      <c r="BG241" s="43"/>
      <c r="BH241" s="43"/>
      <c r="BI241" s="43"/>
      <c r="BJ241" s="43"/>
      <c r="BK241" s="43"/>
      <c r="BL241" s="43"/>
      <c r="BM241" s="43"/>
      <c r="BN241" s="43"/>
      <c r="BO241" s="43"/>
      <c r="BP241" s="43"/>
      <c r="BQ241" s="43"/>
      <c r="BR241" s="43"/>
      <c r="BS241" s="43"/>
      <c r="BT241" s="43"/>
      <c r="BU241" s="43"/>
      <c r="BV241" s="43"/>
      <c r="BW241" s="53"/>
      <c r="BX241" s="30">
        <f t="shared" si="54"/>
        <v>0</v>
      </c>
      <c r="BY241" s="52">
        <f t="shared" si="71"/>
        <v>0</v>
      </c>
      <c r="BZ241" s="48">
        <f t="shared" si="72"/>
        <v>16.05</v>
      </c>
      <c r="CA241" s="43"/>
      <c r="CB241" s="43"/>
      <c r="CC241" s="43"/>
      <c r="CD241" s="43"/>
      <c r="CE241" s="43"/>
      <c r="CF241" s="43"/>
      <c r="CG241" s="53"/>
      <c r="CH241" s="52"/>
      <c r="CI241" s="43"/>
      <c r="CJ241" s="43"/>
      <c r="CK241" s="43"/>
      <c r="CL241" s="43"/>
      <c r="CM241" s="43"/>
      <c r="CN241" s="43"/>
      <c r="CO241" s="43"/>
      <c r="CP241" s="43"/>
      <c r="CQ241" s="43"/>
      <c r="CR241" s="43"/>
      <c r="CS241" s="43"/>
      <c r="CT241" s="43"/>
      <c r="CU241" s="43"/>
      <c r="CV241" s="43"/>
      <c r="CW241" s="43"/>
      <c r="CX241" s="43"/>
      <c r="CY241" s="43"/>
      <c r="CZ241" s="7"/>
      <c r="DA241" s="7"/>
      <c r="DB241" s="43"/>
      <c r="DC241" s="43"/>
      <c r="DD241" s="53"/>
      <c r="DE241" s="73">
        <f t="shared" si="56"/>
        <v>0</v>
      </c>
      <c r="DG241" s="52"/>
      <c r="DH241" s="43"/>
      <c r="DI241" s="50">
        <f t="shared" si="57"/>
        <v>6628.0433333333322</v>
      </c>
      <c r="DK241" s="52"/>
      <c r="DL241" s="43"/>
      <c r="DM241" s="50">
        <f t="shared" si="58"/>
        <v>4432.51</v>
      </c>
      <c r="DO241" s="52"/>
      <c r="DP241" s="43"/>
      <c r="DQ241" s="50">
        <f t="shared" si="59"/>
        <v>7995.9800000000032</v>
      </c>
      <c r="DT241" s="52"/>
      <c r="DU241" s="43"/>
      <c r="DV241" s="50">
        <f t="shared" si="60"/>
        <v>518.17000000000007</v>
      </c>
      <c r="DX241" s="52"/>
      <c r="DY241" s="43"/>
      <c r="DZ241" s="53">
        <f t="shared" si="61"/>
        <v>617.75</v>
      </c>
      <c r="EB241" s="52"/>
      <c r="EC241" s="43"/>
      <c r="ED241" s="53">
        <f t="shared" si="62"/>
        <v>500</v>
      </c>
      <c r="EF241" s="52"/>
      <c r="EG241" s="43"/>
      <c r="EH241" s="53">
        <f t="shared" si="63"/>
        <v>1048.04</v>
      </c>
      <c r="EJ241" s="65"/>
      <c r="EK241" s="7"/>
      <c r="EL241" s="53">
        <f t="shared" si="64"/>
        <v>25.299999999999997</v>
      </c>
      <c r="EN241" s="51">
        <f t="shared" si="65"/>
        <v>-5066.3533333333144</v>
      </c>
      <c r="EP241" s="60">
        <f t="shared" si="66"/>
        <v>0</v>
      </c>
      <c r="EQ241" s="61">
        <f t="shared" si="67"/>
        <v>0</v>
      </c>
      <c r="ER241" s="15">
        <f t="shared" si="68"/>
        <v>0</v>
      </c>
      <c r="ES241" s="62">
        <f t="shared" si="69"/>
        <v>0</v>
      </c>
      <c r="EU241" s="6">
        <v>234</v>
      </c>
    </row>
    <row r="242" spans="1:151" x14ac:dyDescent="0.45">
      <c r="A242" s="9">
        <v>45687</v>
      </c>
      <c r="B242" t="s">
        <v>936</v>
      </c>
      <c r="C242" s="4" t="s">
        <v>633</v>
      </c>
      <c r="D242" s="2"/>
      <c r="E242">
        <v>9.6300000000000008</v>
      </c>
      <c r="F242" s="43"/>
      <c r="G242" s="16">
        <f t="shared" si="55"/>
        <v>16709.070000000022</v>
      </c>
      <c r="H242" s="64" t="s">
        <v>625</v>
      </c>
      <c r="I242" s="52"/>
      <c r="J242" s="43"/>
      <c r="K242" s="43"/>
      <c r="L242" s="43"/>
      <c r="M242" s="43"/>
      <c r="N242" s="43"/>
      <c r="O242" s="43"/>
      <c r="P242" s="43"/>
      <c r="Q242" s="43"/>
      <c r="R242" s="43"/>
      <c r="S242" s="43"/>
      <c r="T242" s="43"/>
      <c r="U242" s="43"/>
      <c r="V242" s="43"/>
      <c r="W242" s="43"/>
      <c r="X242" s="43"/>
      <c r="Y242" s="43"/>
      <c r="Z242" s="43"/>
      <c r="AA242" s="43"/>
      <c r="AB242" s="43">
        <v>9.6300000000000008</v>
      </c>
      <c r="AC242" s="43"/>
      <c r="AD242" s="43"/>
      <c r="AE242" s="43"/>
      <c r="AF242" s="43"/>
      <c r="AG242" s="43"/>
      <c r="AH242" s="43"/>
      <c r="AI242" s="43"/>
      <c r="AJ242" s="43"/>
      <c r="AK242" s="43"/>
      <c r="AL242" s="43"/>
      <c r="AM242" s="43"/>
      <c r="AN242" s="43"/>
      <c r="AO242" s="43"/>
      <c r="AP242" s="43"/>
      <c r="AQ242" s="43"/>
      <c r="AR242" s="53"/>
      <c r="AS242" s="52"/>
      <c r="AT242" s="43"/>
      <c r="AU242" s="43"/>
      <c r="AV242" s="43"/>
      <c r="AW242" s="43"/>
      <c r="AX242" s="43"/>
      <c r="AY242" s="43"/>
      <c r="AZ242" s="43"/>
      <c r="BA242" s="43"/>
      <c r="BB242" s="43"/>
      <c r="BC242" s="43"/>
      <c r="BD242" s="43"/>
      <c r="BE242" s="43"/>
      <c r="BF242" s="43"/>
      <c r="BG242" s="43"/>
      <c r="BH242" s="43"/>
      <c r="BI242" s="43"/>
      <c r="BJ242" s="43"/>
      <c r="BK242" s="43"/>
      <c r="BL242" s="43"/>
      <c r="BM242" s="43"/>
      <c r="BN242" s="43"/>
      <c r="BO242" s="43"/>
      <c r="BP242" s="43"/>
      <c r="BQ242" s="43"/>
      <c r="BR242" s="43"/>
      <c r="BS242" s="43"/>
      <c r="BT242" s="43"/>
      <c r="BU242" s="43"/>
      <c r="BV242" s="43"/>
      <c r="BW242" s="53"/>
      <c r="BX242" s="30">
        <f t="shared" si="54"/>
        <v>0</v>
      </c>
      <c r="BY242" s="52">
        <f t="shared" si="71"/>
        <v>0</v>
      </c>
      <c r="BZ242" s="48">
        <f t="shared" si="72"/>
        <v>9.6300000000000008</v>
      </c>
      <c r="CA242" s="43"/>
      <c r="CB242" s="43"/>
      <c r="CC242" s="43"/>
      <c r="CD242" s="43"/>
      <c r="CE242" s="43"/>
      <c r="CF242" s="43"/>
      <c r="CG242" s="53"/>
      <c r="CH242" s="52"/>
      <c r="CI242" s="43"/>
      <c r="CJ242" s="43"/>
      <c r="CK242" s="43"/>
      <c r="CL242" s="43"/>
      <c r="CM242" s="43"/>
      <c r="CN242" s="43"/>
      <c r="CO242" s="43"/>
      <c r="CP242" s="43"/>
      <c r="CQ242" s="43"/>
      <c r="CR242" s="43"/>
      <c r="CS242" s="43"/>
      <c r="CT242" s="43"/>
      <c r="CU242" s="43"/>
      <c r="CV242" s="43"/>
      <c r="CW242" s="43"/>
      <c r="CX242" s="43"/>
      <c r="CY242" s="43"/>
      <c r="CZ242" s="7"/>
      <c r="DA242" s="7"/>
      <c r="DB242" s="43"/>
      <c r="DC242" s="43"/>
      <c r="DD242" s="53"/>
      <c r="DE242" s="73">
        <f t="shared" si="56"/>
        <v>0</v>
      </c>
      <c r="DG242" s="52"/>
      <c r="DH242" s="43"/>
      <c r="DI242" s="50">
        <f t="shared" si="57"/>
        <v>6628.0433333333322</v>
      </c>
      <c r="DK242" s="52"/>
      <c r="DL242" s="43"/>
      <c r="DM242" s="50">
        <f t="shared" si="58"/>
        <v>4432.51</v>
      </c>
      <c r="DO242" s="52"/>
      <c r="DP242" s="43"/>
      <c r="DQ242" s="50">
        <f t="shared" si="59"/>
        <v>7995.9800000000032</v>
      </c>
      <c r="DT242" s="52"/>
      <c r="DU242" s="43"/>
      <c r="DV242" s="50">
        <f t="shared" si="60"/>
        <v>518.17000000000007</v>
      </c>
      <c r="DX242" s="52"/>
      <c r="DY242" s="43"/>
      <c r="DZ242" s="53">
        <f t="shared" si="61"/>
        <v>617.75</v>
      </c>
      <c r="EB242" s="52"/>
      <c r="EC242" s="43"/>
      <c r="ED242" s="53">
        <f t="shared" si="62"/>
        <v>500</v>
      </c>
      <c r="EF242" s="52"/>
      <c r="EG242" s="43"/>
      <c r="EH242" s="53">
        <f t="shared" si="63"/>
        <v>1048.04</v>
      </c>
      <c r="EJ242" s="65"/>
      <c r="EK242" s="7"/>
      <c r="EL242" s="53">
        <f t="shared" si="64"/>
        <v>25.299999999999997</v>
      </c>
      <c r="EN242" s="51">
        <f t="shared" si="65"/>
        <v>-5056.7233333333133</v>
      </c>
      <c r="EP242" s="60">
        <f t="shared" si="66"/>
        <v>0</v>
      </c>
      <c r="EQ242" s="61">
        <f t="shared" si="67"/>
        <v>0</v>
      </c>
      <c r="ER242" s="15">
        <f t="shared" si="68"/>
        <v>0</v>
      </c>
      <c r="ES242" s="163">
        <f t="shared" si="69"/>
        <v>-9.6300000000000008</v>
      </c>
      <c r="EU242">
        <v>235</v>
      </c>
    </row>
    <row r="243" spans="1:151" x14ac:dyDescent="0.45">
      <c r="A243" s="9">
        <v>45687</v>
      </c>
      <c r="B243" t="s">
        <v>937</v>
      </c>
      <c r="C243" s="4" t="s">
        <v>633</v>
      </c>
      <c r="D243" s="7"/>
      <c r="E243">
        <v>35.31</v>
      </c>
      <c r="F243" s="43"/>
      <c r="G243" s="16">
        <f t="shared" si="55"/>
        <v>16744.380000000023</v>
      </c>
      <c r="H243" s="64" t="s">
        <v>625</v>
      </c>
      <c r="I243" s="52"/>
      <c r="J243" s="43"/>
      <c r="K243" s="43"/>
      <c r="L243" s="43"/>
      <c r="M243" s="43"/>
      <c r="N243" s="43"/>
      <c r="O243" s="43"/>
      <c r="P243" s="43"/>
      <c r="Q243" s="43"/>
      <c r="R243" s="43"/>
      <c r="S243" s="43"/>
      <c r="T243" s="43"/>
      <c r="U243" s="43"/>
      <c r="V243" s="43"/>
      <c r="W243" s="43"/>
      <c r="X243" s="43"/>
      <c r="Y243" s="43">
        <v>35.31</v>
      </c>
      <c r="Z243" s="43"/>
      <c r="AA243" s="43"/>
      <c r="AB243" s="43"/>
      <c r="AC243" s="43"/>
      <c r="AD243" s="43"/>
      <c r="AE243" s="43"/>
      <c r="AF243" s="43"/>
      <c r="AG243" s="43"/>
      <c r="AH243" s="43"/>
      <c r="AI243" s="43"/>
      <c r="AJ243" s="43"/>
      <c r="AK243" s="43"/>
      <c r="AL243" s="43"/>
      <c r="AM243" s="43"/>
      <c r="AN243" s="43"/>
      <c r="AO243" s="43"/>
      <c r="AP243" s="43"/>
      <c r="AQ243" s="43"/>
      <c r="AR243" s="53"/>
      <c r="AS243" s="52"/>
      <c r="AT243" s="43"/>
      <c r="AU243" s="43"/>
      <c r="AV243" s="43"/>
      <c r="AW243" s="43"/>
      <c r="AX243" s="43"/>
      <c r="AY243" s="43"/>
      <c r="AZ243" s="43"/>
      <c r="BA243" s="43"/>
      <c r="BB243" s="43"/>
      <c r="BC243" s="43"/>
      <c r="BD243" s="43"/>
      <c r="BE243" s="43"/>
      <c r="BF243" s="43"/>
      <c r="BG243" s="43"/>
      <c r="BH243" s="43"/>
      <c r="BI243" s="43"/>
      <c r="BJ243" s="43"/>
      <c r="BK243" s="43"/>
      <c r="BL243" s="43"/>
      <c r="BM243" s="43"/>
      <c r="BN243" s="43"/>
      <c r="BO243" s="43"/>
      <c r="BP243" s="43"/>
      <c r="BQ243" s="43"/>
      <c r="BR243" s="43"/>
      <c r="BS243" s="43"/>
      <c r="BT243" s="43"/>
      <c r="BU243" s="43"/>
      <c r="BV243" s="43"/>
      <c r="BW243" s="53"/>
      <c r="BX243" s="30">
        <f t="shared" si="54"/>
        <v>0</v>
      </c>
      <c r="BY243" s="52">
        <f t="shared" si="71"/>
        <v>0</v>
      </c>
      <c r="BZ243" s="48">
        <f t="shared" si="72"/>
        <v>35.31</v>
      </c>
      <c r="CA243" s="43"/>
      <c r="CB243" s="43"/>
      <c r="CC243" s="43"/>
      <c r="CD243" s="43"/>
      <c r="CE243" s="43"/>
      <c r="CF243" s="43"/>
      <c r="CG243" s="53"/>
      <c r="CH243" s="52"/>
      <c r="CI243" s="43"/>
      <c r="CJ243" s="43"/>
      <c r="CK243" s="43"/>
      <c r="CL243" s="43"/>
      <c r="CM243" s="43"/>
      <c r="CN243" s="43"/>
      <c r="CO243" s="43"/>
      <c r="CP243" s="43"/>
      <c r="CQ243" s="43"/>
      <c r="CR243" s="43"/>
      <c r="CS243" s="43"/>
      <c r="CT243" s="43"/>
      <c r="CU243" s="43"/>
      <c r="CV243" s="43"/>
      <c r="CW243" s="43"/>
      <c r="CX243" s="43"/>
      <c r="CY243" s="43"/>
      <c r="CZ243" s="7"/>
      <c r="DA243" s="7"/>
      <c r="DB243" s="43"/>
      <c r="DC243" s="43"/>
      <c r="DD243" s="53"/>
      <c r="DE243" s="73">
        <f t="shared" si="56"/>
        <v>0</v>
      </c>
      <c r="DG243" s="52"/>
      <c r="DH243" s="43"/>
      <c r="DI243" s="50">
        <f t="shared" si="57"/>
        <v>6628.0433333333322</v>
      </c>
      <c r="DK243" s="52"/>
      <c r="DL243" s="43"/>
      <c r="DM243" s="50">
        <f t="shared" si="58"/>
        <v>4432.51</v>
      </c>
      <c r="DO243" s="52"/>
      <c r="DP243" s="43"/>
      <c r="DQ243" s="50">
        <f t="shared" si="59"/>
        <v>7995.9800000000032</v>
      </c>
      <c r="DT243" s="52"/>
      <c r="DU243" s="43"/>
      <c r="DV243" s="50">
        <f t="shared" si="60"/>
        <v>518.17000000000007</v>
      </c>
      <c r="DX243" s="52"/>
      <c r="DY243" s="43"/>
      <c r="DZ243" s="53">
        <f t="shared" si="61"/>
        <v>617.75</v>
      </c>
      <c r="EB243" s="52"/>
      <c r="EC243" s="43"/>
      <c r="ED243" s="53">
        <f t="shared" si="62"/>
        <v>500</v>
      </c>
      <c r="EF243" s="52"/>
      <c r="EG243" s="43"/>
      <c r="EH243" s="53">
        <f t="shared" si="63"/>
        <v>1048.04</v>
      </c>
      <c r="EJ243" s="65"/>
      <c r="EK243" s="7"/>
      <c r="EL243" s="53">
        <f t="shared" si="64"/>
        <v>25.299999999999997</v>
      </c>
      <c r="EN243" s="51">
        <f t="shared" si="65"/>
        <v>-5021.413333333312</v>
      </c>
      <c r="EP243" s="60">
        <f t="shared" si="66"/>
        <v>0</v>
      </c>
      <c r="EQ243" s="61">
        <f t="shared" si="67"/>
        <v>0</v>
      </c>
      <c r="ER243" s="15">
        <f t="shared" si="68"/>
        <v>0</v>
      </c>
      <c r="ES243" s="62">
        <f t="shared" si="69"/>
        <v>0</v>
      </c>
      <c r="EU243" s="6">
        <v>236</v>
      </c>
    </row>
    <row r="244" spans="1:151" x14ac:dyDescent="0.45">
      <c r="A244" s="9">
        <v>45687</v>
      </c>
      <c r="B244" t="s">
        <v>938</v>
      </c>
      <c r="C244" s="4" t="s">
        <v>633</v>
      </c>
      <c r="D244" s="7"/>
      <c r="E244">
        <v>9.6300000000000008</v>
      </c>
      <c r="F244" s="43"/>
      <c r="G244" s="16">
        <f t="shared" si="55"/>
        <v>16754.010000000024</v>
      </c>
      <c r="H244" s="64" t="s">
        <v>625</v>
      </c>
      <c r="I244" s="52"/>
      <c r="J244" s="43"/>
      <c r="K244" s="43"/>
      <c r="L244" s="43"/>
      <c r="M244" s="43"/>
      <c r="N244" s="43"/>
      <c r="O244" s="43"/>
      <c r="P244" s="43"/>
      <c r="Q244" s="43"/>
      <c r="R244" s="43"/>
      <c r="S244" s="43"/>
      <c r="T244" s="43"/>
      <c r="U244" s="43"/>
      <c r="V244" s="43"/>
      <c r="W244" s="43"/>
      <c r="X244" s="43"/>
      <c r="Y244" s="43"/>
      <c r="Z244" s="43">
        <v>9.6300000000000008</v>
      </c>
      <c r="AA244" s="43"/>
      <c r="AB244" s="43"/>
      <c r="AC244" s="43"/>
      <c r="AD244" s="43"/>
      <c r="AE244" s="43"/>
      <c r="AF244" s="43"/>
      <c r="AG244" s="43"/>
      <c r="AH244" s="43"/>
      <c r="AI244" s="43"/>
      <c r="AJ244" s="43"/>
      <c r="AK244" s="43"/>
      <c r="AL244" s="43"/>
      <c r="AM244" s="43"/>
      <c r="AN244" s="43"/>
      <c r="AO244" s="43"/>
      <c r="AP244" s="43"/>
      <c r="AQ244" s="43"/>
      <c r="AR244" s="53"/>
      <c r="AS244" s="52"/>
      <c r="AT244" s="43"/>
      <c r="AU244" s="43"/>
      <c r="AV244" s="43"/>
      <c r="AW244" s="43"/>
      <c r="AX244" s="43"/>
      <c r="AY244" s="43"/>
      <c r="AZ244" s="43"/>
      <c r="BA244" s="43"/>
      <c r="BB244" s="43"/>
      <c r="BC244" s="43"/>
      <c r="BD244" s="43"/>
      <c r="BE244" s="43"/>
      <c r="BF244" s="43"/>
      <c r="BG244" s="43"/>
      <c r="BH244" s="43"/>
      <c r="BI244" s="43"/>
      <c r="BJ244" s="43"/>
      <c r="BK244" s="43"/>
      <c r="BL244" s="43"/>
      <c r="BM244" s="43"/>
      <c r="BN244" s="43"/>
      <c r="BO244" s="43"/>
      <c r="BP244" s="43"/>
      <c r="BQ244" s="43"/>
      <c r="BR244" s="43"/>
      <c r="BS244" s="43"/>
      <c r="BT244" s="43"/>
      <c r="BU244" s="43"/>
      <c r="BV244" s="43"/>
      <c r="BW244" s="53"/>
      <c r="BX244" s="30">
        <f t="shared" si="54"/>
        <v>0</v>
      </c>
      <c r="BY244" s="52">
        <f t="shared" si="71"/>
        <v>0</v>
      </c>
      <c r="BZ244" s="48">
        <f t="shared" si="72"/>
        <v>9.6300000000000008</v>
      </c>
      <c r="CA244" s="43"/>
      <c r="CB244" s="43"/>
      <c r="CC244" s="43"/>
      <c r="CD244" s="43"/>
      <c r="CE244" s="43"/>
      <c r="CF244" s="43"/>
      <c r="CG244" s="53"/>
      <c r="CH244" s="52"/>
      <c r="CI244" s="43"/>
      <c r="CJ244" s="43"/>
      <c r="CK244" s="43"/>
      <c r="CL244" s="43"/>
      <c r="CM244" s="43"/>
      <c r="CN244" s="43"/>
      <c r="CO244" s="43"/>
      <c r="CP244" s="43"/>
      <c r="CQ244" s="43"/>
      <c r="CR244" s="43"/>
      <c r="CS244" s="43"/>
      <c r="CT244" s="43"/>
      <c r="CU244" s="43"/>
      <c r="CV244" s="43"/>
      <c r="CW244" s="43"/>
      <c r="CX244" s="43"/>
      <c r="CY244" s="43"/>
      <c r="CZ244" s="7"/>
      <c r="DA244" s="7"/>
      <c r="DB244" s="43"/>
      <c r="DC244" s="43"/>
      <c r="DD244" s="53"/>
      <c r="DE244" s="73">
        <f t="shared" si="56"/>
        <v>0</v>
      </c>
      <c r="DG244" s="52"/>
      <c r="DH244" s="43"/>
      <c r="DI244" s="50">
        <f t="shared" si="57"/>
        <v>6628.0433333333322</v>
      </c>
      <c r="DK244" s="52"/>
      <c r="DL244" s="43"/>
      <c r="DM244" s="50">
        <f t="shared" si="58"/>
        <v>4432.51</v>
      </c>
      <c r="DO244" s="52"/>
      <c r="DP244" s="43"/>
      <c r="DQ244" s="50">
        <f t="shared" si="59"/>
        <v>7995.9800000000032</v>
      </c>
      <c r="DT244" s="52"/>
      <c r="DU244" s="43"/>
      <c r="DV244" s="50">
        <f t="shared" si="60"/>
        <v>518.17000000000007</v>
      </c>
      <c r="DX244" s="52"/>
      <c r="DY244" s="43"/>
      <c r="DZ244" s="53">
        <f t="shared" si="61"/>
        <v>617.75</v>
      </c>
      <c r="EB244" s="52"/>
      <c r="EC244" s="43"/>
      <c r="ED244" s="53">
        <f t="shared" si="62"/>
        <v>500</v>
      </c>
      <c r="EF244" s="52"/>
      <c r="EG244" s="43"/>
      <c r="EH244" s="53">
        <f t="shared" si="63"/>
        <v>1048.04</v>
      </c>
      <c r="EJ244" s="65"/>
      <c r="EK244" s="7"/>
      <c r="EL244" s="53">
        <f t="shared" si="64"/>
        <v>25.299999999999997</v>
      </c>
      <c r="EN244" s="51">
        <f t="shared" si="65"/>
        <v>-5011.783333333311</v>
      </c>
      <c r="EP244" s="60">
        <f t="shared" si="66"/>
        <v>0</v>
      </c>
      <c r="EQ244" s="61">
        <f t="shared" si="67"/>
        <v>0</v>
      </c>
      <c r="ER244" s="15">
        <f t="shared" si="68"/>
        <v>0</v>
      </c>
      <c r="ES244" s="163">
        <f t="shared" si="69"/>
        <v>0</v>
      </c>
      <c r="EU244">
        <v>237</v>
      </c>
    </row>
    <row r="245" spans="1:151" x14ac:dyDescent="0.45">
      <c r="A245" s="9">
        <v>45687</v>
      </c>
      <c r="B245" t="s">
        <v>939</v>
      </c>
      <c r="C245" s="223" t="s">
        <v>633</v>
      </c>
      <c r="D245" s="2"/>
      <c r="E245" s="7">
        <v>6.42</v>
      </c>
      <c r="F245" s="43"/>
      <c r="G245" s="16">
        <f t="shared" si="55"/>
        <v>16760.430000000022</v>
      </c>
      <c r="H245" s="64" t="s">
        <v>625</v>
      </c>
      <c r="I245" s="52"/>
      <c r="J245" s="43"/>
      <c r="K245" s="43"/>
      <c r="L245" s="43"/>
      <c r="M245" s="43"/>
      <c r="N245" s="43"/>
      <c r="O245" s="43"/>
      <c r="P245" s="43"/>
      <c r="Q245" s="43"/>
      <c r="R245" s="43"/>
      <c r="S245" s="43"/>
      <c r="T245" s="43"/>
      <c r="U245" s="43"/>
      <c r="V245" s="43"/>
      <c r="W245" s="43"/>
      <c r="X245" s="43">
        <v>6.42</v>
      </c>
      <c r="Y245" s="43"/>
      <c r="Z245" s="43"/>
      <c r="AA245" s="43"/>
      <c r="AB245" s="43"/>
      <c r="AC245" s="43"/>
      <c r="AD245" s="43"/>
      <c r="AE245" s="43"/>
      <c r="AF245" s="43"/>
      <c r="AG245" s="43"/>
      <c r="AH245" s="43"/>
      <c r="AI245" s="43"/>
      <c r="AJ245" s="43"/>
      <c r="AK245" s="43"/>
      <c r="AL245" s="43"/>
      <c r="AM245" s="43"/>
      <c r="AN245" s="43"/>
      <c r="AO245" s="43"/>
      <c r="AP245" s="43"/>
      <c r="AQ245" s="43"/>
      <c r="AR245" s="53"/>
      <c r="AS245" s="52"/>
      <c r="AT245" s="43"/>
      <c r="AU245" s="43"/>
      <c r="AV245" s="43"/>
      <c r="AW245" s="43"/>
      <c r="AX245" s="43"/>
      <c r="AY245" s="43"/>
      <c r="AZ245" s="43"/>
      <c r="BA245" s="43"/>
      <c r="BB245" s="43"/>
      <c r="BC245" s="43"/>
      <c r="BD245" s="43"/>
      <c r="BE245" s="43"/>
      <c r="BF245" s="43"/>
      <c r="BG245" s="43"/>
      <c r="BH245" s="43"/>
      <c r="BI245" s="43"/>
      <c r="BJ245" s="43"/>
      <c r="BK245" s="43"/>
      <c r="BL245" s="43"/>
      <c r="BM245" s="43"/>
      <c r="BN245" s="43"/>
      <c r="BO245" s="43"/>
      <c r="BP245" s="43"/>
      <c r="BQ245" s="43"/>
      <c r="BR245" s="43"/>
      <c r="BS245" s="43"/>
      <c r="BT245" s="43"/>
      <c r="BU245" s="43"/>
      <c r="BV245" s="43"/>
      <c r="BW245" s="53"/>
      <c r="BX245" s="30">
        <f t="shared" si="54"/>
        <v>0</v>
      </c>
      <c r="BY245" s="52">
        <f t="shared" si="71"/>
        <v>0</v>
      </c>
      <c r="BZ245" s="48">
        <f t="shared" si="72"/>
        <v>6.42</v>
      </c>
      <c r="CA245" s="43"/>
      <c r="CB245" s="43"/>
      <c r="CC245" s="43"/>
      <c r="CD245" s="43"/>
      <c r="CE245" s="43"/>
      <c r="CF245" s="43"/>
      <c r="CG245" s="53"/>
      <c r="CH245" s="52"/>
      <c r="CI245" s="43"/>
      <c r="CJ245" s="43"/>
      <c r="CK245" s="43"/>
      <c r="CL245" s="43"/>
      <c r="CM245" s="43"/>
      <c r="CN245" s="43"/>
      <c r="CO245" s="43"/>
      <c r="CP245" s="43"/>
      <c r="CQ245" s="43"/>
      <c r="CR245" s="43"/>
      <c r="CS245" s="43"/>
      <c r="CT245" s="43"/>
      <c r="CU245" s="43"/>
      <c r="CV245" s="43"/>
      <c r="CW245" s="43"/>
      <c r="CX245" s="43"/>
      <c r="CY245" s="43"/>
      <c r="CZ245" s="7"/>
      <c r="DA245" s="7"/>
      <c r="DB245" s="43"/>
      <c r="DC245" s="43"/>
      <c r="DD245" s="53"/>
      <c r="DE245" s="73">
        <f t="shared" si="56"/>
        <v>0</v>
      </c>
      <c r="DG245" s="52"/>
      <c r="DH245" s="43"/>
      <c r="DI245" s="50">
        <f t="shared" si="57"/>
        <v>6628.0433333333322</v>
      </c>
      <c r="DK245" s="52"/>
      <c r="DL245" s="43"/>
      <c r="DM245" s="50">
        <f t="shared" si="58"/>
        <v>4432.51</v>
      </c>
      <c r="DO245" s="52"/>
      <c r="DP245" s="43"/>
      <c r="DQ245" s="50">
        <f t="shared" si="59"/>
        <v>7995.9800000000032</v>
      </c>
      <c r="DT245" s="52"/>
      <c r="DU245" s="43"/>
      <c r="DV245" s="50">
        <f t="shared" si="60"/>
        <v>518.17000000000007</v>
      </c>
      <c r="DX245" s="52"/>
      <c r="DY245" s="43"/>
      <c r="DZ245" s="53">
        <f t="shared" si="61"/>
        <v>617.75</v>
      </c>
      <c r="EB245" s="52"/>
      <c r="EC245" s="43"/>
      <c r="ED245" s="53">
        <f t="shared" si="62"/>
        <v>500</v>
      </c>
      <c r="EF245" s="52"/>
      <c r="EG245" s="43"/>
      <c r="EH245" s="53">
        <f t="shared" si="63"/>
        <v>1048.04</v>
      </c>
      <c r="EJ245" s="65"/>
      <c r="EK245" s="7"/>
      <c r="EL245" s="53">
        <f t="shared" si="64"/>
        <v>25.299999999999997</v>
      </c>
      <c r="EN245" s="51">
        <f t="shared" si="65"/>
        <v>-5005.3633333333128</v>
      </c>
      <c r="EP245" s="60">
        <f t="shared" si="66"/>
        <v>0</v>
      </c>
      <c r="EQ245" s="61">
        <f t="shared" si="67"/>
        <v>0</v>
      </c>
      <c r="ER245" s="15">
        <f t="shared" si="68"/>
        <v>0</v>
      </c>
      <c r="ES245" s="62">
        <f t="shared" si="69"/>
        <v>0</v>
      </c>
      <c r="EU245" s="6">
        <v>238</v>
      </c>
    </row>
    <row r="246" spans="1:151" x14ac:dyDescent="0.45">
      <c r="A246" s="9">
        <v>45687</v>
      </c>
      <c r="B246" t="s">
        <v>940</v>
      </c>
      <c r="C246" s="3" t="s">
        <v>630</v>
      </c>
      <c r="D246" s="7"/>
      <c r="F246" s="43">
        <v>138.87</v>
      </c>
      <c r="G246" s="16">
        <f t="shared" si="55"/>
        <v>16621.560000000023</v>
      </c>
      <c r="H246" s="64" t="s">
        <v>625</v>
      </c>
      <c r="I246" s="52"/>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53"/>
      <c r="AS246" s="52"/>
      <c r="AT246" s="43"/>
      <c r="AU246" s="43"/>
      <c r="AV246" s="43"/>
      <c r="AW246" s="43"/>
      <c r="AX246" s="43"/>
      <c r="AY246" s="43"/>
      <c r="AZ246" s="43"/>
      <c r="BA246" s="43"/>
      <c r="BB246" s="43">
        <v>138.87</v>
      </c>
      <c r="BC246" s="43"/>
      <c r="BD246" s="43"/>
      <c r="BE246" s="43"/>
      <c r="BF246" s="43"/>
      <c r="BG246" s="43"/>
      <c r="BH246" s="43"/>
      <c r="BI246" s="43"/>
      <c r="BJ246" s="43"/>
      <c r="BK246" s="43"/>
      <c r="BL246" s="43"/>
      <c r="BM246" s="43"/>
      <c r="BN246" s="43"/>
      <c r="BO246" s="43"/>
      <c r="BP246" s="43"/>
      <c r="BQ246" s="43"/>
      <c r="BR246" s="43"/>
      <c r="BS246" s="43"/>
      <c r="BT246" s="43"/>
      <c r="BU246" s="43"/>
      <c r="BV246" s="43"/>
      <c r="BW246" s="53"/>
      <c r="BX246" s="30">
        <f t="shared" si="54"/>
        <v>0</v>
      </c>
      <c r="BY246" s="52">
        <f t="shared" si="71"/>
        <v>0</v>
      </c>
      <c r="BZ246" s="43"/>
      <c r="CA246" s="43"/>
      <c r="CB246" s="43"/>
      <c r="CC246" s="43"/>
      <c r="CD246" s="43"/>
      <c r="CE246" s="43"/>
      <c r="CF246" s="43"/>
      <c r="CG246" s="53"/>
      <c r="CH246" s="52"/>
      <c r="CI246" s="43"/>
      <c r="CJ246" s="43"/>
      <c r="CK246" s="43"/>
      <c r="CL246" s="43"/>
      <c r="CM246" s="43"/>
      <c r="CN246" s="43"/>
      <c r="CO246" s="43"/>
      <c r="CP246" s="43"/>
      <c r="CQ246" s="43">
        <f>F246-43</f>
        <v>95.87</v>
      </c>
      <c r="CR246" s="43"/>
      <c r="CS246" s="43"/>
      <c r="CT246" s="43"/>
      <c r="CU246" s="43"/>
      <c r="CV246" s="43"/>
      <c r="CW246" s="43"/>
      <c r="CX246" s="43"/>
      <c r="CY246" s="43"/>
      <c r="CZ246" s="7"/>
      <c r="DA246" s="7"/>
      <c r="DB246" s="43">
        <v>43</v>
      </c>
      <c r="DC246" s="43"/>
      <c r="DD246" s="53"/>
      <c r="DE246" s="73">
        <f t="shared" si="56"/>
        <v>0</v>
      </c>
      <c r="DG246" s="52"/>
      <c r="DH246" s="43"/>
      <c r="DI246" s="50">
        <f t="shared" si="57"/>
        <v>6628.0433333333322</v>
      </c>
      <c r="DK246" s="52"/>
      <c r="DL246" s="43"/>
      <c r="DM246" s="50">
        <f t="shared" si="58"/>
        <v>4432.51</v>
      </c>
      <c r="DO246" s="52"/>
      <c r="DP246" s="43"/>
      <c r="DQ246" s="50">
        <f t="shared" si="59"/>
        <v>7995.9800000000032</v>
      </c>
      <c r="DT246" s="52"/>
      <c r="DU246" s="43"/>
      <c r="DV246" s="50">
        <f t="shared" si="60"/>
        <v>518.17000000000007</v>
      </c>
      <c r="DX246" s="52"/>
      <c r="DY246" s="43"/>
      <c r="DZ246" s="53">
        <f t="shared" si="61"/>
        <v>617.75</v>
      </c>
      <c r="EB246" s="52"/>
      <c r="EC246" s="43"/>
      <c r="ED246" s="53">
        <f t="shared" si="62"/>
        <v>500</v>
      </c>
      <c r="EF246" s="52"/>
      <c r="EG246" s="43"/>
      <c r="EH246" s="53">
        <f t="shared" si="63"/>
        <v>1048.04</v>
      </c>
      <c r="EJ246" s="65"/>
      <c r="EK246" s="7"/>
      <c r="EL246" s="53">
        <f t="shared" si="64"/>
        <v>25.299999999999997</v>
      </c>
      <c r="EN246" s="51">
        <f t="shared" si="65"/>
        <v>-5144.2333333333117</v>
      </c>
      <c r="EP246" s="60">
        <f t="shared" si="66"/>
        <v>0</v>
      </c>
      <c r="EQ246" s="61">
        <f t="shared" si="67"/>
        <v>0</v>
      </c>
      <c r="ER246" s="15">
        <f t="shared" si="68"/>
        <v>0</v>
      </c>
      <c r="ES246" s="163">
        <f t="shared" si="69"/>
        <v>0</v>
      </c>
      <c r="EU246">
        <v>239</v>
      </c>
    </row>
    <row r="247" spans="1:151" x14ac:dyDescent="0.45">
      <c r="A247" s="9">
        <v>45688</v>
      </c>
      <c r="B247" t="s">
        <v>941</v>
      </c>
      <c r="C247" s="4" t="s">
        <v>633</v>
      </c>
      <c r="D247" s="7"/>
      <c r="E247">
        <v>77.36</v>
      </c>
      <c r="F247" s="43"/>
      <c r="G247" s="16">
        <f t="shared" si="55"/>
        <v>16698.920000000024</v>
      </c>
      <c r="H247" s="64" t="s">
        <v>625</v>
      </c>
      <c r="I247" s="52"/>
      <c r="J247" s="43"/>
      <c r="K247" s="43"/>
      <c r="L247" s="43"/>
      <c r="M247" s="43"/>
      <c r="N247" s="43"/>
      <c r="O247" s="43"/>
      <c r="P247" s="43"/>
      <c r="Q247" s="43"/>
      <c r="R247" s="43"/>
      <c r="S247" s="43"/>
      <c r="T247" s="43"/>
      <c r="U247" s="43"/>
      <c r="V247" s="43"/>
      <c r="W247" s="43"/>
      <c r="X247" s="43"/>
      <c r="Y247" s="43">
        <v>77.36</v>
      </c>
      <c r="Z247" s="43"/>
      <c r="AA247" s="43"/>
      <c r="AB247" s="43"/>
      <c r="AC247" s="43"/>
      <c r="AD247" s="43"/>
      <c r="AE247" s="43"/>
      <c r="AF247" s="43"/>
      <c r="AG247" s="43"/>
      <c r="AH247" s="43"/>
      <c r="AI247" s="43"/>
      <c r="AJ247" s="43"/>
      <c r="AK247" s="43"/>
      <c r="AL247" s="43"/>
      <c r="AM247" s="43"/>
      <c r="AN247" s="43"/>
      <c r="AO247" s="43"/>
      <c r="AP247" s="43"/>
      <c r="AQ247" s="43"/>
      <c r="AR247" s="53"/>
      <c r="AS247" s="52"/>
      <c r="AT247" s="43"/>
      <c r="AU247" s="43"/>
      <c r="AV247" s="43"/>
      <c r="AW247" s="43"/>
      <c r="AX247" s="43"/>
      <c r="AY247" s="43"/>
      <c r="AZ247" s="43"/>
      <c r="BA247" s="43"/>
      <c r="BB247" s="43"/>
      <c r="BC247" s="43"/>
      <c r="BD247" s="43"/>
      <c r="BE247" s="43"/>
      <c r="BF247" s="43"/>
      <c r="BG247" s="43"/>
      <c r="BH247" s="43"/>
      <c r="BI247" s="43"/>
      <c r="BJ247" s="43"/>
      <c r="BK247" s="43"/>
      <c r="BL247" s="43"/>
      <c r="BM247" s="43"/>
      <c r="BN247" s="43"/>
      <c r="BO247" s="43"/>
      <c r="BP247" s="43"/>
      <c r="BQ247" s="43"/>
      <c r="BR247" s="43"/>
      <c r="BS247" s="43"/>
      <c r="BT247" s="43"/>
      <c r="BU247" s="43"/>
      <c r="BV247" s="43"/>
      <c r="BW247" s="53"/>
      <c r="BX247" s="30">
        <f t="shared" si="54"/>
        <v>0</v>
      </c>
      <c r="BY247" s="52">
        <f t="shared" si="71"/>
        <v>0</v>
      </c>
      <c r="BZ247" s="48">
        <f>E247</f>
        <v>77.36</v>
      </c>
      <c r="CA247" s="43"/>
      <c r="CB247" s="43"/>
      <c r="CC247" s="43"/>
      <c r="CD247" s="43"/>
      <c r="CE247" s="43"/>
      <c r="CF247" s="43"/>
      <c r="CG247" s="53"/>
      <c r="CH247" s="52"/>
      <c r="CI247" s="43"/>
      <c r="CJ247" s="43"/>
      <c r="CK247" s="43"/>
      <c r="CL247" s="43"/>
      <c r="CM247" s="43"/>
      <c r="CN247" s="43"/>
      <c r="CO247" s="43"/>
      <c r="CP247" s="43"/>
      <c r="CQ247" s="43"/>
      <c r="CR247" s="43"/>
      <c r="CS247" s="43"/>
      <c r="CT247" s="43"/>
      <c r="CU247" s="43"/>
      <c r="CV247" s="43"/>
      <c r="CW247" s="43"/>
      <c r="CX247" s="43"/>
      <c r="CY247" s="43"/>
      <c r="CZ247" s="7"/>
      <c r="DA247" s="7"/>
      <c r="DB247" s="43"/>
      <c r="DC247" s="43"/>
      <c r="DD247" s="53"/>
      <c r="DE247" s="73">
        <f t="shared" si="56"/>
        <v>0</v>
      </c>
      <c r="DG247" s="52"/>
      <c r="DH247" s="43"/>
      <c r="DI247" s="50">
        <f t="shared" si="57"/>
        <v>6628.0433333333322</v>
      </c>
      <c r="DK247" s="52"/>
      <c r="DL247" s="43"/>
      <c r="DM247" s="50">
        <f t="shared" si="58"/>
        <v>4432.51</v>
      </c>
      <c r="DO247" s="52"/>
      <c r="DP247" s="43"/>
      <c r="DQ247" s="50">
        <f t="shared" si="59"/>
        <v>7995.9800000000032</v>
      </c>
      <c r="DT247" s="52"/>
      <c r="DU247" s="43"/>
      <c r="DV247" s="50">
        <f t="shared" si="60"/>
        <v>518.17000000000007</v>
      </c>
      <c r="DX247" s="52"/>
      <c r="DY247" s="43"/>
      <c r="DZ247" s="53">
        <f t="shared" si="61"/>
        <v>617.75</v>
      </c>
      <c r="EB247" s="52"/>
      <c r="EC247" s="43"/>
      <c r="ED247" s="53">
        <f t="shared" si="62"/>
        <v>500</v>
      </c>
      <c r="EF247" s="52"/>
      <c r="EG247" s="43"/>
      <c r="EH247" s="53">
        <f t="shared" si="63"/>
        <v>1048.04</v>
      </c>
      <c r="EJ247" s="65"/>
      <c r="EK247" s="7"/>
      <c r="EL247" s="53">
        <f t="shared" si="64"/>
        <v>25.299999999999997</v>
      </c>
      <c r="EN247" s="51">
        <f t="shared" si="65"/>
        <v>-5066.8733333333112</v>
      </c>
      <c r="EP247" s="60">
        <f t="shared" si="66"/>
        <v>0</v>
      </c>
      <c r="EQ247" s="61">
        <f t="shared" si="67"/>
        <v>0</v>
      </c>
      <c r="ER247" s="15">
        <f t="shared" si="68"/>
        <v>0</v>
      </c>
      <c r="ES247" s="62">
        <f t="shared" si="69"/>
        <v>0</v>
      </c>
      <c r="EU247" s="6">
        <v>240</v>
      </c>
    </row>
    <row r="248" spans="1:151" x14ac:dyDescent="0.45">
      <c r="A248" s="9">
        <v>45688</v>
      </c>
      <c r="B248" t="s">
        <v>942</v>
      </c>
      <c r="C248" s="4" t="s">
        <v>633</v>
      </c>
      <c r="D248" s="7"/>
      <c r="E248">
        <v>3.21</v>
      </c>
      <c r="F248" s="43"/>
      <c r="G248" s="16">
        <f t="shared" si="55"/>
        <v>16702.130000000023</v>
      </c>
      <c r="H248" s="64" t="s">
        <v>625</v>
      </c>
      <c r="I248" s="52"/>
      <c r="J248" s="43"/>
      <c r="K248" s="43"/>
      <c r="L248" s="43"/>
      <c r="M248" s="43"/>
      <c r="N248" s="43"/>
      <c r="O248" s="43"/>
      <c r="P248" s="43"/>
      <c r="Q248" s="43"/>
      <c r="R248" s="43"/>
      <c r="S248" s="43"/>
      <c r="T248" s="43"/>
      <c r="U248" s="43"/>
      <c r="V248" s="43"/>
      <c r="W248" s="43"/>
      <c r="X248" s="43"/>
      <c r="Y248" s="43"/>
      <c r="Z248" s="43">
        <v>3.21</v>
      </c>
      <c r="AA248" s="43"/>
      <c r="AB248" s="43"/>
      <c r="AC248" s="43"/>
      <c r="AD248" s="43"/>
      <c r="AE248" s="43"/>
      <c r="AF248" s="43"/>
      <c r="AG248" s="43"/>
      <c r="AH248" s="43"/>
      <c r="AI248" s="43"/>
      <c r="AJ248" s="43"/>
      <c r="AK248" s="43"/>
      <c r="AL248" s="43"/>
      <c r="AM248" s="43"/>
      <c r="AN248" s="43"/>
      <c r="AO248" s="43"/>
      <c r="AP248" s="43"/>
      <c r="AQ248" s="43"/>
      <c r="AR248" s="53"/>
      <c r="AS248" s="52"/>
      <c r="AT248" s="43"/>
      <c r="AU248" s="43"/>
      <c r="AV248" s="43"/>
      <c r="AW248" s="43"/>
      <c r="AX248" s="43"/>
      <c r="AY248" s="43"/>
      <c r="AZ248" s="43"/>
      <c r="BA248" s="43"/>
      <c r="BB248" s="43"/>
      <c r="BC248" s="43"/>
      <c r="BD248" s="43"/>
      <c r="BE248" s="43"/>
      <c r="BF248" s="43"/>
      <c r="BG248" s="43"/>
      <c r="BH248" s="43"/>
      <c r="BI248" s="43"/>
      <c r="BJ248" s="43"/>
      <c r="BK248" s="43"/>
      <c r="BL248" s="43"/>
      <c r="BM248" s="43"/>
      <c r="BN248" s="43"/>
      <c r="BO248" s="43"/>
      <c r="BP248" s="43"/>
      <c r="BQ248" s="43"/>
      <c r="BR248" s="43"/>
      <c r="BS248" s="43"/>
      <c r="BT248" s="43"/>
      <c r="BU248" s="43"/>
      <c r="BV248" s="43"/>
      <c r="BW248" s="53"/>
      <c r="BX248" s="30">
        <f t="shared" si="54"/>
        <v>0</v>
      </c>
      <c r="BY248" s="52">
        <f t="shared" si="71"/>
        <v>0</v>
      </c>
      <c r="BZ248" s="48">
        <f>E248</f>
        <v>3.21</v>
      </c>
      <c r="CA248" s="43"/>
      <c r="CB248" s="43"/>
      <c r="CC248" s="43"/>
      <c r="CD248" s="43"/>
      <c r="CE248" s="43"/>
      <c r="CF248" s="43"/>
      <c r="CG248" s="53"/>
      <c r="CH248" s="52"/>
      <c r="CI248" s="43"/>
      <c r="CJ248" s="43"/>
      <c r="CK248" s="43"/>
      <c r="CL248" s="43"/>
      <c r="CM248" s="43"/>
      <c r="CN248" s="43"/>
      <c r="CO248" s="43"/>
      <c r="CP248" s="43"/>
      <c r="CQ248" s="43"/>
      <c r="CR248" s="43"/>
      <c r="CS248" s="43"/>
      <c r="CT248" s="43"/>
      <c r="CU248" s="43"/>
      <c r="CV248" s="43"/>
      <c r="CW248" s="43"/>
      <c r="CX248" s="43"/>
      <c r="CY248" s="43"/>
      <c r="CZ248" s="7"/>
      <c r="DA248" s="7"/>
      <c r="DB248" s="43"/>
      <c r="DC248" s="43"/>
      <c r="DD248" s="53"/>
      <c r="DE248" s="73">
        <f t="shared" si="56"/>
        <v>0</v>
      </c>
      <c r="DG248" s="52"/>
      <c r="DH248" s="43"/>
      <c r="DI248" s="50">
        <f t="shared" si="57"/>
        <v>6628.0433333333322</v>
      </c>
      <c r="DK248" s="52"/>
      <c r="DL248" s="43"/>
      <c r="DM248" s="50">
        <f t="shared" si="58"/>
        <v>4432.51</v>
      </c>
      <c r="DO248" s="52"/>
      <c r="DP248" s="43"/>
      <c r="DQ248" s="50">
        <f t="shared" si="59"/>
        <v>7995.9800000000032</v>
      </c>
      <c r="DT248" s="52"/>
      <c r="DU248" s="43"/>
      <c r="DV248" s="50">
        <f t="shared" si="60"/>
        <v>518.17000000000007</v>
      </c>
      <c r="DX248" s="52"/>
      <c r="DY248" s="43"/>
      <c r="DZ248" s="53">
        <f t="shared" si="61"/>
        <v>617.75</v>
      </c>
      <c r="EB248" s="52"/>
      <c r="EC248" s="43"/>
      <c r="ED248" s="53">
        <f t="shared" si="62"/>
        <v>500</v>
      </c>
      <c r="EF248" s="52"/>
      <c r="EG248" s="43"/>
      <c r="EH248" s="53">
        <f t="shared" si="63"/>
        <v>1048.04</v>
      </c>
      <c r="EJ248" s="65"/>
      <c r="EK248" s="7"/>
      <c r="EL248" s="53">
        <f t="shared" si="64"/>
        <v>25.299999999999997</v>
      </c>
      <c r="EN248" s="51">
        <f t="shared" si="65"/>
        <v>-5063.663333333312</v>
      </c>
      <c r="EP248" s="60">
        <f t="shared" si="66"/>
        <v>0</v>
      </c>
      <c r="EQ248" s="61">
        <f t="shared" si="67"/>
        <v>0</v>
      </c>
      <c r="ER248" s="15">
        <f t="shared" si="68"/>
        <v>0</v>
      </c>
      <c r="ES248" s="163">
        <f t="shared" si="69"/>
        <v>0</v>
      </c>
      <c r="EU248">
        <v>241</v>
      </c>
    </row>
    <row r="249" spans="1:151" x14ac:dyDescent="0.45">
      <c r="A249" s="9">
        <v>45688</v>
      </c>
      <c r="B249" t="s">
        <v>943</v>
      </c>
      <c r="C249" s="4" t="s">
        <v>633</v>
      </c>
      <c r="D249" s="7"/>
      <c r="E249">
        <v>6.42</v>
      </c>
      <c r="F249" s="43"/>
      <c r="G249" s="16">
        <f t="shared" si="55"/>
        <v>16708.550000000021</v>
      </c>
      <c r="H249" s="64" t="s">
        <v>625</v>
      </c>
      <c r="I249" s="52"/>
      <c r="J249" s="43"/>
      <c r="K249" s="43"/>
      <c r="L249" s="43"/>
      <c r="M249" s="43"/>
      <c r="N249" s="43"/>
      <c r="O249" s="43"/>
      <c r="P249" s="43"/>
      <c r="Q249" s="43"/>
      <c r="R249" s="43"/>
      <c r="S249" s="43"/>
      <c r="T249" s="43"/>
      <c r="U249" s="43"/>
      <c r="V249" s="43"/>
      <c r="W249" s="43"/>
      <c r="X249" s="43"/>
      <c r="Y249" s="43">
        <v>6.42</v>
      </c>
      <c r="Z249" s="43"/>
      <c r="AA249" s="43"/>
      <c r="AB249" s="43"/>
      <c r="AC249" s="43"/>
      <c r="AD249" s="43"/>
      <c r="AE249" s="43"/>
      <c r="AF249" s="43"/>
      <c r="AG249" s="43"/>
      <c r="AH249" s="43"/>
      <c r="AI249" s="43"/>
      <c r="AJ249" s="43"/>
      <c r="AK249" s="43"/>
      <c r="AL249" s="43"/>
      <c r="AM249" s="43"/>
      <c r="AN249" s="43"/>
      <c r="AO249" s="43"/>
      <c r="AP249" s="43"/>
      <c r="AQ249" s="43"/>
      <c r="AR249" s="53"/>
      <c r="AS249" s="52"/>
      <c r="AT249" s="43"/>
      <c r="AU249" s="43"/>
      <c r="AV249" s="43"/>
      <c r="AW249" s="43"/>
      <c r="AX249" s="43"/>
      <c r="AY249" s="43"/>
      <c r="AZ249" s="43"/>
      <c r="BA249" s="43"/>
      <c r="BB249" s="43"/>
      <c r="BC249" s="43"/>
      <c r="BD249" s="43"/>
      <c r="BE249" s="43"/>
      <c r="BF249" s="43"/>
      <c r="BG249" s="43"/>
      <c r="BH249" s="43"/>
      <c r="BI249" s="43"/>
      <c r="BJ249" s="43"/>
      <c r="BK249" s="43"/>
      <c r="BL249" s="43"/>
      <c r="BM249" s="43"/>
      <c r="BN249" s="43"/>
      <c r="BO249" s="43"/>
      <c r="BP249" s="43"/>
      <c r="BQ249" s="43"/>
      <c r="BR249" s="43"/>
      <c r="BS249" s="43"/>
      <c r="BT249" s="43"/>
      <c r="BU249" s="43"/>
      <c r="BV249" s="43"/>
      <c r="BW249" s="53"/>
      <c r="BX249" s="30">
        <f t="shared" si="54"/>
        <v>0</v>
      </c>
      <c r="BY249" s="52">
        <f t="shared" si="71"/>
        <v>0</v>
      </c>
      <c r="BZ249" s="48">
        <f>E249</f>
        <v>6.42</v>
      </c>
      <c r="CA249" s="43"/>
      <c r="CB249" s="43"/>
      <c r="CC249" s="43"/>
      <c r="CD249" s="43"/>
      <c r="CE249" s="43"/>
      <c r="CF249" s="43"/>
      <c r="CG249" s="53"/>
      <c r="CH249" s="52"/>
      <c r="CI249" s="43"/>
      <c r="CJ249" s="43"/>
      <c r="CK249" s="43"/>
      <c r="CL249" s="43"/>
      <c r="CM249" s="43"/>
      <c r="CN249" s="43"/>
      <c r="CO249" s="43"/>
      <c r="CP249" s="43"/>
      <c r="CQ249" s="43"/>
      <c r="CR249" s="43"/>
      <c r="CS249" s="43"/>
      <c r="CT249" s="43"/>
      <c r="CU249" s="43"/>
      <c r="CV249" s="43"/>
      <c r="CW249" s="43"/>
      <c r="CX249" s="43"/>
      <c r="CY249" s="43"/>
      <c r="CZ249" s="7"/>
      <c r="DA249" s="7"/>
      <c r="DB249" s="43"/>
      <c r="DC249" s="43"/>
      <c r="DD249" s="53"/>
      <c r="DE249" s="73">
        <f t="shared" si="56"/>
        <v>0</v>
      </c>
      <c r="DG249" s="52"/>
      <c r="DH249" s="43"/>
      <c r="DI249" s="50">
        <f t="shared" si="57"/>
        <v>6628.0433333333322</v>
      </c>
      <c r="DK249" s="52"/>
      <c r="DL249" s="43"/>
      <c r="DM249" s="50">
        <f t="shared" si="58"/>
        <v>4432.51</v>
      </c>
      <c r="DO249" s="52"/>
      <c r="DP249" s="43"/>
      <c r="DQ249" s="50">
        <f t="shared" si="59"/>
        <v>7995.9800000000032</v>
      </c>
      <c r="DT249" s="52"/>
      <c r="DU249" s="43"/>
      <c r="DV249" s="50">
        <f t="shared" si="60"/>
        <v>518.17000000000007</v>
      </c>
      <c r="DX249" s="52"/>
      <c r="DY249" s="43"/>
      <c r="DZ249" s="53">
        <f t="shared" si="61"/>
        <v>617.75</v>
      </c>
      <c r="EB249" s="52"/>
      <c r="EC249" s="43"/>
      <c r="ED249" s="53">
        <f t="shared" si="62"/>
        <v>500</v>
      </c>
      <c r="EF249" s="52"/>
      <c r="EG249" s="43"/>
      <c r="EH249" s="53">
        <f t="shared" si="63"/>
        <v>1048.04</v>
      </c>
      <c r="EJ249" s="65"/>
      <c r="EK249" s="7"/>
      <c r="EL249" s="53">
        <f t="shared" si="64"/>
        <v>25.299999999999997</v>
      </c>
      <c r="EN249" s="51">
        <f t="shared" si="65"/>
        <v>-5057.2433333333138</v>
      </c>
      <c r="EP249" s="60">
        <f t="shared" si="66"/>
        <v>0</v>
      </c>
      <c r="EQ249" s="61">
        <f t="shared" si="67"/>
        <v>0</v>
      </c>
      <c r="ER249" s="15">
        <f t="shared" si="68"/>
        <v>0</v>
      </c>
      <c r="ES249" s="62">
        <f t="shared" si="69"/>
        <v>0</v>
      </c>
      <c r="EU249" s="6">
        <v>242</v>
      </c>
    </row>
    <row r="250" spans="1:151" x14ac:dyDescent="0.45">
      <c r="A250" s="9">
        <v>45688</v>
      </c>
      <c r="B250" t="s">
        <v>944</v>
      </c>
      <c r="C250" s="4" t="s">
        <v>633</v>
      </c>
      <c r="D250" s="7"/>
      <c r="E250">
        <v>3.21</v>
      </c>
      <c r="F250" s="43"/>
      <c r="G250" s="16">
        <f t="shared" si="55"/>
        <v>16711.76000000002</v>
      </c>
      <c r="H250" s="64" t="s">
        <v>625</v>
      </c>
      <c r="I250" s="52"/>
      <c r="J250" s="43"/>
      <c r="K250" s="43"/>
      <c r="L250" s="43"/>
      <c r="M250" s="43"/>
      <c r="N250" s="43"/>
      <c r="O250" s="43"/>
      <c r="P250" s="43"/>
      <c r="Q250" s="43"/>
      <c r="R250" s="43"/>
      <c r="S250" s="43"/>
      <c r="T250" s="43"/>
      <c r="U250" s="43"/>
      <c r="V250" s="43"/>
      <c r="W250" s="43"/>
      <c r="X250" s="43"/>
      <c r="Y250" s="43"/>
      <c r="Z250" s="43"/>
      <c r="AA250" s="43"/>
      <c r="AB250" s="43">
        <v>3.21</v>
      </c>
      <c r="AC250" s="43"/>
      <c r="AD250" s="43"/>
      <c r="AE250" s="43"/>
      <c r="AF250" s="43"/>
      <c r="AG250" s="43"/>
      <c r="AH250" s="43"/>
      <c r="AI250" s="43"/>
      <c r="AJ250" s="43"/>
      <c r="AK250" s="43"/>
      <c r="AL250" s="43"/>
      <c r="AM250" s="43"/>
      <c r="AN250" s="43"/>
      <c r="AO250" s="43"/>
      <c r="AP250" s="43"/>
      <c r="AQ250" s="43"/>
      <c r="AR250" s="53"/>
      <c r="AS250" s="52"/>
      <c r="AT250" s="43"/>
      <c r="AU250" s="43"/>
      <c r="AV250" s="43"/>
      <c r="AW250" s="43"/>
      <c r="AX250" s="43"/>
      <c r="AY250" s="43"/>
      <c r="AZ250" s="43"/>
      <c r="BA250" s="43"/>
      <c r="BB250" s="43"/>
      <c r="BC250" s="43"/>
      <c r="BD250" s="43"/>
      <c r="BE250" s="43"/>
      <c r="BF250" s="43"/>
      <c r="BG250" s="43"/>
      <c r="BH250" s="43"/>
      <c r="BI250" s="43"/>
      <c r="BJ250" s="43"/>
      <c r="BK250" s="43"/>
      <c r="BL250" s="43"/>
      <c r="BM250" s="43"/>
      <c r="BN250" s="43"/>
      <c r="BO250" s="43"/>
      <c r="BP250" s="43"/>
      <c r="BQ250" s="43"/>
      <c r="BR250" s="43"/>
      <c r="BS250" s="43"/>
      <c r="BT250" s="43"/>
      <c r="BU250" s="43"/>
      <c r="BV250" s="43"/>
      <c r="BW250" s="53"/>
      <c r="BX250" s="30">
        <f t="shared" si="54"/>
        <v>0</v>
      </c>
      <c r="BY250" s="52">
        <f t="shared" si="71"/>
        <v>0</v>
      </c>
      <c r="BZ250" s="48">
        <f>E250</f>
        <v>3.21</v>
      </c>
      <c r="CA250" s="43"/>
      <c r="CB250" s="43"/>
      <c r="CC250" s="43"/>
      <c r="CD250" s="43"/>
      <c r="CE250" s="43"/>
      <c r="CF250" s="43"/>
      <c r="CG250" s="53"/>
      <c r="CH250" s="52"/>
      <c r="CI250" s="43"/>
      <c r="CJ250" s="43"/>
      <c r="CK250" s="43"/>
      <c r="CL250" s="43"/>
      <c r="CM250" s="43"/>
      <c r="CN250" s="43"/>
      <c r="CO250" s="43"/>
      <c r="CP250" s="43"/>
      <c r="CQ250" s="43"/>
      <c r="CR250" s="43"/>
      <c r="CS250" s="43"/>
      <c r="CT250" s="43"/>
      <c r="CU250" s="43"/>
      <c r="CV250" s="43"/>
      <c r="CW250" s="43"/>
      <c r="CX250" s="43"/>
      <c r="CY250" s="43"/>
      <c r="CZ250" s="7"/>
      <c r="DA250" s="7"/>
      <c r="DB250" s="43"/>
      <c r="DC250" s="43"/>
      <c r="DD250" s="53"/>
      <c r="DE250" s="73">
        <f t="shared" si="56"/>
        <v>0</v>
      </c>
      <c r="DG250" s="52"/>
      <c r="DH250" s="43"/>
      <c r="DI250" s="50">
        <f t="shared" si="57"/>
        <v>6628.0433333333322</v>
      </c>
      <c r="DK250" s="52"/>
      <c r="DL250" s="43"/>
      <c r="DM250" s="50">
        <f t="shared" si="58"/>
        <v>4432.51</v>
      </c>
      <c r="DO250" s="52"/>
      <c r="DP250" s="43"/>
      <c r="DQ250" s="50">
        <f t="shared" si="59"/>
        <v>7995.9800000000032</v>
      </c>
      <c r="DT250" s="52"/>
      <c r="DU250" s="43"/>
      <c r="DV250" s="50">
        <f t="shared" si="60"/>
        <v>518.17000000000007</v>
      </c>
      <c r="DX250" s="52"/>
      <c r="DY250" s="43"/>
      <c r="DZ250" s="53">
        <f t="shared" si="61"/>
        <v>617.75</v>
      </c>
      <c r="EB250" s="52"/>
      <c r="EC250" s="43"/>
      <c r="ED250" s="53">
        <f t="shared" si="62"/>
        <v>500</v>
      </c>
      <c r="EF250" s="52"/>
      <c r="EG250" s="43"/>
      <c r="EH250" s="53">
        <f t="shared" si="63"/>
        <v>1048.04</v>
      </c>
      <c r="EJ250" s="65"/>
      <c r="EK250" s="7"/>
      <c r="EL250" s="53">
        <f t="shared" si="64"/>
        <v>25.299999999999997</v>
      </c>
      <c r="EN250" s="51">
        <f t="shared" si="65"/>
        <v>-5054.0333333333147</v>
      </c>
      <c r="EP250" s="60">
        <f t="shared" si="66"/>
        <v>0</v>
      </c>
      <c r="EQ250" s="61">
        <f t="shared" si="67"/>
        <v>0</v>
      </c>
      <c r="ER250" s="15">
        <f t="shared" si="68"/>
        <v>0</v>
      </c>
      <c r="ES250" s="163">
        <f t="shared" ref="ES250:ES281" si="73">+X250+Y250+Z250+AA250-BZ250-CA250-CB250-CC250</f>
        <v>-3.21</v>
      </c>
      <c r="EU250">
        <v>243</v>
      </c>
    </row>
    <row r="251" spans="1:151" x14ac:dyDescent="0.45">
      <c r="A251" s="9">
        <v>45688</v>
      </c>
      <c r="B251" t="s">
        <v>945</v>
      </c>
      <c r="C251" s="223" t="s">
        <v>633</v>
      </c>
      <c r="D251" s="7"/>
      <c r="E251" s="7">
        <v>9.6300000000000008</v>
      </c>
      <c r="F251" s="43"/>
      <c r="G251" s="16">
        <f t="shared" si="55"/>
        <v>16721.390000000021</v>
      </c>
      <c r="H251" s="64" t="s">
        <v>625</v>
      </c>
      <c r="I251" s="52"/>
      <c r="J251" s="43"/>
      <c r="K251" s="43"/>
      <c r="L251" s="43"/>
      <c r="M251" s="43"/>
      <c r="N251" s="43"/>
      <c r="O251" s="43"/>
      <c r="P251" s="43"/>
      <c r="Q251" s="43"/>
      <c r="R251" s="43"/>
      <c r="S251" s="43"/>
      <c r="T251" s="43"/>
      <c r="U251" s="43"/>
      <c r="V251" s="43"/>
      <c r="W251" s="43"/>
      <c r="X251" s="43"/>
      <c r="Y251" s="43"/>
      <c r="Z251" s="43">
        <v>9.6300000000000008</v>
      </c>
      <c r="AA251" s="43"/>
      <c r="AB251" s="43"/>
      <c r="AC251" s="43"/>
      <c r="AD251" s="43"/>
      <c r="AE251" s="43"/>
      <c r="AF251" s="43"/>
      <c r="AG251" s="43"/>
      <c r="AH251" s="43"/>
      <c r="AI251" s="43"/>
      <c r="AJ251" s="43"/>
      <c r="AK251" s="43"/>
      <c r="AL251" s="43"/>
      <c r="AM251" s="43"/>
      <c r="AN251" s="43"/>
      <c r="AO251" s="43"/>
      <c r="AP251" s="43"/>
      <c r="AQ251" s="43"/>
      <c r="AR251" s="53"/>
      <c r="AS251" s="52"/>
      <c r="AT251" s="43"/>
      <c r="AU251" s="43"/>
      <c r="AV251" s="43"/>
      <c r="AW251" s="43"/>
      <c r="AX251" s="43"/>
      <c r="AY251" s="43"/>
      <c r="AZ251" s="43"/>
      <c r="BA251" s="43"/>
      <c r="BB251" s="43"/>
      <c r="BC251" s="43"/>
      <c r="BD251" s="43"/>
      <c r="BE251" s="43"/>
      <c r="BF251" s="43"/>
      <c r="BG251" s="43"/>
      <c r="BH251" s="43"/>
      <c r="BI251" s="43"/>
      <c r="BJ251" s="43"/>
      <c r="BK251" s="43"/>
      <c r="BL251" s="43"/>
      <c r="BM251" s="43"/>
      <c r="BN251" s="43"/>
      <c r="BO251" s="43"/>
      <c r="BP251" s="43"/>
      <c r="BQ251" s="43"/>
      <c r="BR251" s="43"/>
      <c r="BS251" s="43"/>
      <c r="BT251" s="43"/>
      <c r="BU251" s="43"/>
      <c r="BV251" s="43"/>
      <c r="BW251" s="53"/>
      <c r="BX251" s="30">
        <f t="shared" si="54"/>
        <v>0</v>
      </c>
      <c r="BY251" s="52">
        <f t="shared" si="71"/>
        <v>0</v>
      </c>
      <c r="BZ251" s="48">
        <f>E251</f>
        <v>9.6300000000000008</v>
      </c>
      <c r="CA251" s="43"/>
      <c r="CB251" s="43"/>
      <c r="CC251" s="43"/>
      <c r="CD251" s="43"/>
      <c r="CE251" s="43"/>
      <c r="CF251" s="43"/>
      <c r="CG251" s="53"/>
      <c r="CH251" s="52"/>
      <c r="CI251" s="43"/>
      <c r="CJ251" s="43"/>
      <c r="CK251" s="43"/>
      <c r="CL251" s="43"/>
      <c r="CM251" s="43"/>
      <c r="CN251" s="43"/>
      <c r="CO251" s="43"/>
      <c r="CP251" s="43"/>
      <c r="CQ251" s="43"/>
      <c r="CR251" s="43"/>
      <c r="CS251" s="43"/>
      <c r="CT251" s="43"/>
      <c r="CU251" s="43"/>
      <c r="CV251" s="43"/>
      <c r="CW251" s="43"/>
      <c r="CX251" s="43"/>
      <c r="CY251" s="43"/>
      <c r="CZ251" s="7"/>
      <c r="DA251" s="7"/>
      <c r="DB251" s="43"/>
      <c r="DC251" s="43"/>
      <c r="DD251" s="53"/>
      <c r="DE251" s="73">
        <f t="shared" si="56"/>
        <v>0</v>
      </c>
      <c r="DG251" s="52"/>
      <c r="DH251" s="43"/>
      <c r="DI251" s="50">
        <f t="shared" si="57"/>
        <v>6628.0433333333322</v>
      </c>
      <c r="DK251" s="52"/>
      <c r="DL251" s="43"/>
      <c r="DM251" s="50">
        <f t="shared" si="58"/>
        <v>4432.51</v>
      </c>
      <c r="DO251" s="52"/>
      <c r="DP251" s="43"/>
      <c r="DQ251" s="50">
        <f t="shared" si="59"/>
        <v>7995.9800000000032</v>
      </c>
      <c r="DT251" s="52"/>
      <c r="DU251" s="43"/>
      <c r="DV251" s="50">
        <f t="shared" si="60"/>
        <v>518.17000000000007</v>
      </c>
      <c r="DX251" s="52"/>
      <c r="DY251" s="43"/>
      <c r="DZ251" s="53">
        <f t="shared" si="61"/>
        <v>617.75</v>
      </c>
      <c r="EB251" s="52"/>
      <c r="EC251" s="43"/>
      <c r="ED251" s="53">
        <f t="shared" si="62"/>
        <v>500</v>
      </c>
      <c r="EF251" s="52"/>
      <c r="EG251" s="43"/>
      <c r="EH251" s="53">
        <f t="shared" si="63"/>
        <v>1048.04</v>
      </c>
      <c r="EJ251" s="65"/>
      <c r="EK251" s="7"/>
      <c r="EL251" s="53">
        <f t="shared" si="64"/>
        <v>25.299999999999997</v>
      </c>
      <c r="EN251" s="51">
        <f t="shared" si="65"/>
        <v>-5044.4033333333136</v>
      </c>
      <c r="EP251" s="60">
        <f t="shared" si="66"/>
        <v>0</v>
      </c>
      <c r="EQ251" s="61">
        <f t="shared" si="67"/>
        <v>0</v>
      </c>
      <c r="ER251" s="15">
        <f t="shared" si="68"/>
        <v>0</v>
      </c>
      <c r="ES251" s="62">
        <f t="shared" si="73"/>
        <v>0</v>
      </c>
      <c r="EU251" s="6">
        <v>244</v>
      </c>
    </row>
    <row r="252" spans="1:151" x14ac:dyDescent="0.45">
      <c r="A252" s="9">
        <v>45691</v>
      </c>
      <c r="B252" t="s">
        <v>946</v>
      </c>
      <c r="C252" s="3" t="s">
        <v>639</v>
      </c>
      <c r="D252" s="7"/>
      <c r="F252" s="43">
        <v>178</v>
      </c>
      <c r="G252" s="16">
        <f t="shared" si="55"/>
        <v>16543.390000000021</v>
      </c>
      <c r="H252" s="64" t="s">
        <v>625</v>
      </c>
      <c r="I252" s="52"/>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53"/>
      <c r="AS252" s="52"/>
      <c r="AT252" s="43"/>
      <c r="AU252" s="43"/>
      <c r="AV252" s="43"/>
      <c r="AW252" s="43"/>
      <c r="AX252" s="43"/>
      <c r="AY252" s="43"/>
      <c r="AZ252" s="43"/>
      <c r="BA252" s="43"/>
      <c r="BB252" s="43"/>
      <c r="BC252" s="43"/>
      <c r="BD252" s="43"/>
      <c r="BE252" s="43"/>
      <c r="BF252" s="43"/>
      <c r="BG252" s="43"/>
      <c r="BH252" s="43"/>
      <c r="BI252" s="43"/>
      <c r="BJ252" s="43"/>
      <c r="BK252" s="43"/>
      <c r="BL252" s="43"/>
      <c r="BM252" s="43"/>
      <c r="BN252" s="43"/>
      <c r="BO252" s="43"/>
      <c r="BP252" s="43"/>
      <c r="BQ252" s="43"/>
      <c r="BR252" s="43"/>
      <c r="BS252" s="43"/>
      <c r="BT252" s="43"/>
      <c r="BU252" s="43"/>
      <c r="BV252" s="43"/>
      <c r="BW252" s="53">
        <v>178</v>
      </c>
      <c r="BX252" s="30">
        <f t="shared" si="54"/>
        <v>0</v>
      </c>
      <c r="BY252" s="52">
        <f t="shared" si="71"/>
        <v>0</v>
      </c>
      <c r="BZ252" s="43"/>
      <c r="CA252" s="43"/>
      <c r="CB252" s="43"/>
      <c r="CC252" s="43"/>
      <c r="CD252" s="43"/>
      <c r="CE252" s="43"/>
      <c r="CF252" s="43"/>
      <c r="CG252" s="53"/>
      <c r="CH252" s="52"/>
      <c r="CI252" s="43"/>
      <c r="CJ252" s="43"/>
      <c r="CK252" s="43">
        <f>F252</f>
        <v>178</v>
      </c>
      <c r="CL252" s="43"/>
      <c r="CM252" s="43"/>
      <c r="CN252" s="43"/>
      <c r="CO252" s="43"/>
      <c r="CP252" s="43"/>
      <c r="CQ252" s="43"/>
      <c r="CR252" s="43"/>
      <c r="CS252" s="43"/>
      <c r="CT252" s="43"/>
      <c r="CU252" s="43"/>
      <c r="CV252" s="43"/>
      <c r="CW252" s="43"/>
      <c r="CX252" s="43"/>
      <c r="CY252" s="43"/>
      <c r="CZ252" s="7"/>
      <c r="DA252" s="7"/>
      <c r="DB252" s="43"/>
      <c r="DC252" s="43"/>
      <c r="DD252" s="53"/>
      <c r="DE252" s="73">
        <f t="shared" si="56"/>
        <v>0</v>
      </c>
      <c r="DG252" s="52"/>
      <c r="DH252" s="43"/>
      <c r="DI252" s="50">
        <f t="shared" si="57"/>
        <v>6628.0433333333322</v>
      </c>
      <c r="DK252" s="52"/>
      <c r="DL252" s="43"/>
      <c r="DM252" s="50">
        <f t="shared" si="58"/>
        <v>4432.51</v>
      </c>
      <c r="DO252" s="52"/>
      <c r="DP252" s="43"/>
      <c r="DQ252" s="50">
        <f t="shared" si="59"/>
        <v>7995.9800000000032</v>
      </c>
      <c r="DT252" s="52"/>
      <c r="DU252" s="43"/>
      <c r="DV252" s="50">
        <f t="shared" si="60"/>
        <v>518.17000000000007</v>
      </c>
      <c r="DX252" s="52"/>
      <c r="DY252" s="43"/>
      <c r="DZ252" s="53">
        <f t="shared" si="61"/>
        <v>617.75</v>
      </c>
      <c r="EB252" s="52"/>
      <c r="EC252" s="43"/>
      <c r="ED252" s="53">
        <f t="shared" si="62"/>
        <v>500</v>
      </c>
      <c r="EF252" s="52"/>
      <c r="EG252" s="43"/>
      <c r="EH252" s="53">
        <f t="shared" si="63"/>
        <v>1048.04</v>
      </c>
      <c r="EJ252" s="65"/>
      <c r="EK252" s="7"/>
      <c r="EL252" s="53">
        <f t="shared" si="64"/>
        <v>25.299999999999997</v>
      </c>
      <c r="EN252" s="51">
        <f t="shared" si="65"/>
        <v>-5222.4033333333136</v>
      </c>
      <c r="EP252" s="60">
        <f t="shared" si="66"/>
        <v>0</v>
      </c>
      <c r="EQ252" s="61">
        <f t="shared" si="67"/>
        <v>0</v>
      </c>
      <c r="ER252" s="15">
        <f t="shared" si="68"/>
        <v>0</v>
      </c>
      <c r="ES252" s="163">
        <f t="shared" si="73"/>
        <v>0</v>
      </c>
      <c r="EU252">
        <v>245</v>
      </c>
    </row>
    <row r="253" spans="1:151" x14ac:dyDescent="0.45">
      <c r="A253" s="9">
        <v>45692</v>
      </c>
      <c r="B253" t="s">
        <v>947</v>
      </c>
      <c r="C253" s="4" t="s">
        <v>633</v>
      </c>
      <c r="D253" s="7"/>
      <c r="E253">
        <v>38.68</v>
      </c>
      <c r="F253" s="43"/>
      <c r="G253" s="66">
        <f t="shared" si="55"/>
        <v>16582.070000000022</v>
      </c>
      <c r="H253" s="64" t="s">
        <v>625</v>
      </c>
      <c r="I253" s="52"/>
      <c r="J253" s="43"/>
      <c r="K253" s="43"/>
      <c r="L253" s="43"/>
      <c r="M253" s="43"/>
      <c r="N253" s="43"/>
      <c r="O253" s="43"/>
      <c r="P253" s="43"/>
      <c r="Q253" s="43"/>
      <c r="R253" s="43"/>
      <c r="S253" s="43"/>
      <c r="T253" s="43"/>
      <c r="U253" s="43"/>
      <c r="V253" s="43"/>
      <c r="W253" s="43"/>
      <c r="X253" s="43"/>
      <c r="Y253" s="43">
        <v>38.68</v>
      </c>
      <c r="Z253" s="43"/>
      <c r="AA253" s="43"/>
      <c r="AB253" s="43"/>
      <c r="AC253" s="43"/>
      <c r="AD253" s="43"/>
      <c r="AE253" s="43"/>
      <c r="AF253" s="43"/>
      <c r="AG253" s="43"/>
      <c r="AH253" s="43"/>
      <c r="AI253" s="43"/>
      <c r="AJ253" s="43"/>
      <c r="AK253" s="43"/>
      <c r="AL253" s="43"/>
      <c r="AM253" s="43"/>
      <c r="AN253" s="43"/>
      <c r="AO253" s="43"/>
      <c r="AP253" s="43"/>
      <c r="AQ253" s="43"/>
      <c r="AR253" s="53"/>
      <c r="AS253" s="52"/>
      <c r="AT253" s="43"/>
      <c r="AU253" s="43"/>
      <c r="AV253" s="43"/>
      <c r="AW253" s="43"/>
      <c r="AX253" s="43"/>
      <c r="AY253" s="43"/>
      <c r="AZ253" s="43"/>
      <c r="BA253" s="43"/>
      <c r="BB253" s="43"/>
      <c r="BC253" s="43"/>
      <c r="BD253" s="43"/>
      <c r="BE253" s="43"/>
      <c r="BF253" s="43"/>
      <c r="BG253" s="43"/>
      <c r="BH253" s="43"/>
      <c r="BI253" s="43"/>
      <c r="BJ253" s="43"/>
      <c r="BK253" s="43"/>
      <c r="BL253" s="43"/>
      <c r="BM253" s="43"/>
      <c r="BN253" s="43"/>
      <c r="BO253" s="43"/>
      <c r="BP253" s="43"/>
      <c r="BQ253" s="43"/>
      <c r="BR253" s="43"/>
      <c r="BS253" s="43"/>
      <c r="BT253" s="43"/>
      <c r="BU253" s="43"/>
      <c r="BV253" s="43"/>
      <c r="BW253" s="53"/>
      <c r="BX253" s="30">
        <f t="shared" si="54"/>
        <v>0</v>
      </c>
      <c r="BY253" s="52">
        <f t="shared" si="71"/>
        <v>0</v>
      </c>
      <c r="BZ253" s="48">
        <f t="shared" ref="BZ253:BZ280" si="74">E253</f>
        <v>38.68</v>
      </c>
      <c r="CA253" s="43"/>
      <c r="CB253" s="43"/>
      <c r="CC253" s="43"/>
      <c r="CD253" s="43"/>
      <c r="CE253" s="43"/>
      <c r="CF253" s="43"/>
      <c r="CG253" s="53"/>
      <c r="CH253" s="52"/>
      <c r="CI253" s="43"/>
      <c r="CJ253" s="43"/>
      <c r="CK253" s="43"/>
      <c r="CL253" s="43"/>
      <c r="CM253" s="43"/>
      <c r="CN253" s="43"/>
      <c r="CO253" s="43"/>
      <c r="CP253" s="43"/>
      <c r="CQ253" s="43"/>
      <c r="CR253" s="43"/>
      <c r="CS253" s="43"/>
      <c r="CT253" s="43"/>
      <c r="CU253" s="43"/>
      <c r="CV253" s="43"/>
      <c r="CW253" s="43"/>
      <c r="CX253" s="43"/>
      <c r="CY253" s="43"/>
      <c r="CZ253" s="7"/>
      <c r="DA253" s="7"/>
      <c r="DB253" s="43"/>
      <c r="DC253" s="43"/>
      <c r="DD253" s="53"/>
      <c r="DE253" s="73">
        <f t="shared" si="56"/>
        <v>0</v>
      </c>
      <c r="DG253" s="52"/>
      <c r="DH253" s="43"/>
      <c r="DI253" s="50">
        <f t="shared" si="57"/>
        <v>6628.0433333333322</v>
      </c>
      <c r="DK253" s="52"/>
      <c r="DL253" s="43"/>
      <c r="DM253" s="50">
        <f t="shared" si="58"/>
        <v>4432.51</v>
      </c>
      <c r="DO253" s="52"/>
      <c r="DP253" s="43"/>
      <c r="DQ253" s="50">
        <f t="shared" si="59"/>
        <v>7995.9800000000032</v>
      </c>
      <c r="DT253" s="52"/>
      <c r="DU253" s="43"/>
      <c r="DV253" s="50">
        <f t="shared" si="60"/>
        <v>518.17000000000007</v>
      </c>
      <c r="DX253" s="52"/>
      <c r="DY253" s="43"/>
      <c r="DZ253" s="53">
        <f t="shared" si="61"/>
        <v>617.75</v>
      </c>
      <c r="EB253" s="52"/>
      <c r="EC253" s="43"/>
      <c r="ED253" s="53">
        <f t="shared" si="62"/>
        <v>500</v>
      </c>
      <c r="EF253" s="52"/>
      <c r="EG253" s="43"/>
      <c r="EH253" s="53">
        <f t="shared" si="63"/>
        <v>1048.04</v>
      </c>
      <c r="EJ253" s="65"/>
      <c r="EK253" s="7"/>
      <c r="EL253" s="53">
        <f t="shared" si="64"/>
        <v>25.299999999999997</v>
      </c>
      <c r="EN253" s="51">
        <f t="shared" si="65"/>
        <v>-5183.7233333333133</v>
      </c>
      <c r="EP253" s="60">
        <f t="shared" si="66"/>
        <v>0</v>
      </c>
      <c r="EQ253" s="61">
        <f t="shared" si="67"/>
        <v>0</v>
      </c>
      <c r="ER253" s="15">
        <f t="shared" si="68"/>
        <v>0</v>
      </c>
      <c r="ES253" s="62">
        <f t="shared" si="73"/>
        <v>0</v>
      </c>
      <c r="EU253" s="6">
        <v>246</v>
      </c>
    </row>
    <row r="254" spans="1:151" x14ac:dyDescent="0.45">
      <c r="A254" s="9">
        <v>45692</v>
      </c>
      <c r="B254" t="s">
        <v>948</v>
      </c>
      <c r="C254" s="4" t="s">
        <v>633</v>
      </c>
      <c r="D254" s="7"/>
      <c r="E254">
        <v>6.42</v>
      </c>
      <c r="F254" s="43"/>
      <c r="G254" s="16">
        <f t="shared" si="55"/>
        <v>16588.49000000002</v>
      </c>
      <c r="H254" s="64" t="s">
        <v>625</v>
      </c>
      <c r="I254" s="52"/>
      <c r="J254" s="43"/>
      <c r="K254" s="43"/>
      <c r="L254" s="43"/>
      <c r="M254" s="43"/>
      <c r="N254" s="43"/>
      <c r="O254" s="43"/>
      <c r="P254" s="43"/>
      <c r="Q254" s="43"/>
      <c r="R254" s="43"/>
      <c r="S254" s="43"/>
      <c r="T254" s="43"/>
      <c r="U254" s="43"/>
      <c r="V254" s="43"/>
      <c r="W254" s="43"/>
      <c r="X254" s="43"/>
      <c r="Y254" s="43"/>
      <c r="Z254" s="43">
        <v>6.42</v>
      </c>
      <c r="AA254" s="43"/>
      <c r="AB254" s="43"/>
      <c r="AC254" s="43"/>
      <c r="AD254" s="43"/>
      <c r="AE254" s="43"/>
      <c r="AF254" s="43"/>
      <c r="AG254" s="43"/>
      <c r="AH254" s="43"/>
      <c r="AI254" s="43"/>
      <c r="AJ254" s="43"/>
      <c r="AK254" s="43"/>
      <c r="AL254" s="43"/>
      <c r="AM254" s="43"/>
      <c r="AN254" s="43"/>
      <c r="AO254" s="43"/>
      <c r="AP254" s="43"/>
      <c r="AQ254" s="43"/>
      <c r="AR254" s="53"/>
      <c r="AS254" s="52"/>
      <c r="AT254" s="43"/>
      <c r="AU254" s="43"/>
      <c r="AV254" s="43"/>
      <c r="AW254" s="43"/>
      <c r="AX254" s="43"/>
      <c r="AY254" s="43"/>
      <c r="AZ254" s="43"/>
      <c r="BA254" s="43"/>
      <c r="BB254" s="43"/>
      <c r="BC254" s="43"/>
      <c r="BD254" s="43"/>
      <c r="BE254" s="43"/>
      <c r="BF254" s="43"/>
      <c r="BG254" s="43"/>
      <c r="BH254" s="43"/>
      <c r="BI254" s="43"/>
      <c r="BJ254" s="43"/>
      <c r="BK254" s="43"/>
      <c r="BL254" s="43"/>
      <c r="BM254" s="43"/>
      <c r="BN254" s="43"/>
      <c r="BO254" s="43"/>
      <c r="BP254" s="43"/>
      <c r="BQ254" s="43"/>
      <c r="BR254" s="43"/>
      <c r="BS254" s="43"/>
      <c r="BT254" s="43"/>
      <c r="BU254" s="43"/>
      <c r="BV254" s="43"/>
      <c r="BW254" s="53"/>
      <c r="BX254" s="30">
        <f t="shared" si="54"/>
        <v>0</v>
      </c>
      <c r="BY254" s="52">
        <f t="shared" si="71"/>
        <v>0</v>
      </c>
      <c r="BZ254" s="48">
        <f t="shared" si="74"/>
        <v>6.42</v>
      </c>
      <c r="CA254" s="43"/>
      <c r="CB254" s="43"/>
      <c r="CC254" s="43"/>
      <c r="CD254" s="43"/>
      <c r="CE254" s="43"/>
      <c r="CF254" s="43"/>
      <c r="CG254" s="53"/>
      <c r="CH254" s="52"/>
      <c r="CI254" s="43"/>
      <c r="CJ254" s="43"/>
      <c r="CK254" s="43"/>
      <c r="CL254" s="43"/>
      <c r="CM254" s="43"/>
      <c r="CN254" s="43"/>
      <c r="CO254" s="43"/>
      <c r="CP254" s="43"/>
      <c r="CQ254" s="43"/>
      <c r="CR254" s="43"/>
      <c r="CS254" s="43"/>
      <c r="CT254" s="43"/>
      <c r="CU254" s="43"/>
      <c r="CV254" s="43"/>
      <c r="CW254" s="43"/>
      <c r="CX254" s="43"/>
      <c r="CY254" s="43"/>
      <c r="CZ254" s="7"/>
      <c r="DA254" s="7"/>
      <c r="DB254" s="43"/>
      <c r="DC254" s="43"/>
      <c r="DD254" s="53"/>
      <c r="DE254" s="73">
        <f t="shared" si="56"/>
        <v>0</v>
      </c>
      <c r="DG254" s="52"/>
      <c r="DH254" s="43"/>
      <c r="DI254" s="50">
        <f t="shared" si="57"/>
        <v>6628.0433333333322</v>
      </c>
      <c r="DK254" s="52"/>
      <c r="DL254" s="43"/>
      <c r="DM254" s="50">
        <f t="shared" si="58"/>
        <v>4432.51</v>
      </c>
      <c r="DO254" s="52"/>
      <c r="DP254" s="43"/>
      <c r="DQ254" s="50">
        <f t="shared" si="59"/>
        <v>7995.9800000000032</v>
      </c>
      <c r="DT254" s="52"/>
      <c r="DU254" s="43"/>
      <c r="DV254" s="50">
        <f t="shared" si="60"/>
        <v>518.17000000000007</v>
      </c>
      <c r="DX254" s="52"/>
      <c r="DY254" s="43"/>
      <c r="DZ254" s="53">
        <f t="shared" si="61"/>
        <v>617.75</v>
      </c>
      <c r="EB254" s="52"/>
      <c r="EC254" s="43"/>
      <c r="ED254" s="53">
        <f t="shared" si="62"/>
        <v>500</v>
      </c>
      <c r="EF254" s="52"/>
      <c r="EG254" s="43"/>
      <c r="EH254" s="53">
        <f t="shared" si="63"/>
        <v>1048.04</v>
      </c>
      <c r="EJ254" s="65"/>
      <c r="EK254" s="7"/>
      <c r="EL254" s="53">
        <f t="shared" si="64"/>
        <v>25.299999999999997</v>
      </c>
      <c r="EN254" s="51">
        <f t="shared" si="65"/>
        <v>-5177.3033333333151</v>
      </c>
      <c r="EP254" s="60">
        <f t="shared" si="66"/>
        <v>0</v>
      </c>
      <c r="EQ254" s="61">
        <f t="shared" si="67"/>
        <v>0</v>
      </c>
      <c r="ER254" s="15">
        <f t="shared" si="68"/>
        <v>0</v>
      </c>
      <c r="ES254" s="163">
        <f t="shared" si="73"/>
        <v>0</v>
      </c>
      <c r="EU254">
        <v>247</v>
      </c>
    </row>
    <row r="255" spans="1:151" x14ac:dyDescent="0.45">
      <c r="A255" s="9">
        <v>45694</v>
      </c>
      <c r="B255" t="s">
        <v>949</v>
      </c>
      <c r="C255" s="4" t="s">
        <v>633</v>
      </c>
      <c r="D255" s="7"/>
      <c r="E255">
        <v>3.21</v>
      </c>
      <c r="F255" s="43"/>
      <c r="G255" s="16">
        <f t="shared" si="55"/>
        <v>16591.700000000019</v>
      </c>
      <c r="H255" s="64" t="s">
        <v>625</v>
      </c>
      <c r="I255" s="52"/>
      <c r="J255" s="43"/>
      <c r="K255" s="43"/>
      <c r="L255" s="43"/>
      <c r="M255" s="43"/>
      <c r="N255" s="43"/>
      <c r="O255" s="43"/>
      <c r="P255" s="43"/>
      <c r="Q255" s="43"/>
      <c r="R255" s="43"/>
      <c r="S255" s="43"/>
      <c r="T255" s="43"/>
      <c r="U255" s="43"/>
      <c r="V255" s="43"/>
      <c r="W255" s="43"/>
      <c r="X255" s="43"/>
      <c r="Y255" s="43">
        <v>3.21</v>
      </c>
      <c r="Z255" s="43"/>
      <c r="AA255" s="43"/>
      <c r="AB255" s="43"/>
      <c r="AC255" s="43"/>
      <c r="AD255" s="43"/>
      <c r="AE255" s="43"/>
      <c r="AF255" s="43"/>
      <c r="AG255" s="43"/>
      <c r="AH255" s="43"/>
      <c r="AI255" s="43"/>
      <c r="AJ255" s="43"/>
      <c r="AK255" s="43"/>
      <c r="AL255" s="43"/>
      <c r="AM255" s="43"/>
      <c r="AN255" s="43"/>
      <c r="AO255" s="43"/>
      <c r="AP255" s="43"/>
      <c r="AQ255" s="43"/>
      <c r="AR255" s="53"/>
      <c r="AS255" s="52"/>
      <c r="AT255" s="43"/>
      <c r="AU255" s="43"/>
      <c r="AV255" s="43"/>
      <c r="AW255" s="43"/>
      <c r="AX255" s="43"/>
      <c r="AY255" s="43"/>
      <c r="AZ255" s="43"/>
      <c r="BA255" s="43"/>
      <c r="BB255" s="43"/>
      <c r="BC255" s="43"/>
      <c r="BD255" s="43"/>
      <c r="BE255" s="43"/>
      <c r="BF255" s="43"/>
      <c r="BG255" s="43"/>
      <c r="BH255" s="43"/>
      <c r="BI255" s="43"/>
      <c r="BJ255" s="43"/>
      <c r="BK255" s="43"/>
      <c r="BL255" s="43"/>
      <c r="BM255" s="43"/>
      <c r="BN255" s="43"/>
      <c r="BO255" s="43"/>
      <c r="BP255" s="43"/>
      <c r="BQ255" s="43"/>
      <c r="BR255" s="43"/>
      <c r="BS255" s="43"/>
      <c r="BT255" s="43"/>
      <c r="BU255" s="43"/>
      <c r="BV255" s="43"/>
      <c r="BW255" s="53"/>
      <c r="BX255" s="30">
        <f t="shared" si="54"/>
        <v>0</v>
      </c>
      <c r="BY255" s="52">
        <f t="shared" si="71"/>
        <v>0</v>
      </c>
      <c r="BZ255" s="48">
        <f t="shared" si="74"/>
        <v>3.21</v>
      </c>
      <c r="CA255" s="43"/>
      <c r="CB255" s="43"/>
      <c r="CC255" s="43"/>
      <c r="CD255" s="43"/>
      <c r="CE255" s="43"/>
      <c r="CF255" s="43"/>
      <c r="CG255" s="53"/>
      <c r="CH255" s="52"/>
      <c r="CI255" s="43"/>
      <c r="CJ255" s="43"/>
      <c r="CK255" s="43"/>
      <c r="CL255" s="43"/>
      <c r="CM255" s="43"/>
      <c r="CN255" s="43"/>
      <c r="CO255" s="43"/>
      <c r="CP255" s="43"/>
      <c r="CQ255" s="43"/>
      <c r="CR255" s="43"/>
      <c r="CS255" s="43"/>
      <c r="CT255" s="43"/>
      <c r="CU255" s="43"/>
      <c r="CV255" s="43"/>
      <c r="CW255" s="43"/>
      <c r="CX255" s="43"/>
      <c r="CY255" s="43"/>
      <c r="CZ255" s="7"/>
      <c r="DA255" s="7"/>
      <c r="DB255" s="43"/>
      <c r="DC255" s="43"/>
      <c r="DD255" s="53"/>
      <c r="DE255" s="73">
        <f t="shared" si="56"/>
        <v>0</v>
      </c>
      <c r="DG255" s="52"/>
      <c r="DH255" s="43"/>
      <c r="DI255" s="50">
        <f t="shared" si="57"/>
        <v>6628.0433333333322</v>
      </c>
      <c r="DK255" s="52"/>
      <c r="DL255" s="43"/>
      <c r="DM255" s="50">
        <f t="shared" si="58"/>
        <v>4432.51</v>
      </c>
      <c r="DO255" s="52"/>
      <c r="DP255" s="43"/>
      <c r="DQ255" s="50">
        <f t="shared" si="59"/>
        <v>7995.9800000000032</v>
      </c>
      <c r="DT255" s="52"/>
      <c r="DU255" s="43"/>
      <c r="DV255" s="50">
        <f t="shared" si="60"/>
        <v>518.17000000000007</v>
      </c>
      <c r="DX255" s="52"/>
      <c r="DY255" s="43"/>
      <c r="DZ255" s="53">
        <f t="shared" si="61"/>
        <v>617.75</v>
      </c>
      <c r="EB255" s="52"/>
      <c r="EC255" s="43"/>
      <c r="ED255" s="53">
        <f t="shared" si="62"/>
        <v>500</v>
      </c>
      <c r="EF255" s="52"/>
      <c r="EG255" s="43"/>
      <c r="EH255" s="53">
        <f t="shared" si="63"/>
        <v>1048.04</v>
      </c>
      <c r="EJ255" s="65"/>
      <c r="EK255" s="7"/>
      <c r="EL255" s="53">
        <f t="shared" si="64"/>
        <v>25.299999999999997</v>
      </c>
      <c r="EN255" s="51">
        <f t="shared" si="65"/>
        <v>-5174.093333333316</v>
      </c>
      <c r="EP255" s="60">
        <f t="shared" si="66"/>
        <v>0</v>
      </c>
      <c r="EQ255" s="61">
        <f t="shared" si="67"/>
        <v>0</v>
      </c>
      <c r="ER255" s="15">
        <f t="shared" si="68"/>
        <v>0</v>
      </c>
      <c r="ES255" s="62">
        <f t="shared" si="73"/>
        <v>0</v>
      </c>
      <c r="EU255" s="6">
        <v>248</v>
      </c>
    </row>
    <row r="256" spans="1:151" x14ac:dyDescent="0.45">
      <c r="A256" s="9">
        <v>45695</v>
      </c>
      <c r="B256" t="s">
        <v>950</v>
      </c>
      <c r="C256" s="4" t="s">
        <v>633</v>
      </c>
      <c r="D256" s="7"/>
      <c r="E256">
        <v>19.260000000000002</v>
      </c>
      <c r="F256" s="43"/>
      <c r="G256" s="16">
        <f t="shared" si="55"/>
        <v>16610.960000000017</v>
      </c>
      <c r="H256" s="64" t="s">
        <v>625</v>
      </c>
      <c r="I256" s="52"/>
      <c r="J256" s="43"/>
      <c r="K256" s="43"/>
      <c r="L256" s="43"/>
      <c r="M256" s="43"/>
      <c r="N256" s="43"/>
      <c r="O256" s="43"/>
      <c r="P256" s="43"/>
      <c r="Q256" s="43"/>
      <c r="R256" s="43"/>
      <c r="S256" s="43"/>
      <c r="T256" s="43"/>
      <c r="U256" s="43"/>
      <c r="V256" s="43"/>
      <c r="W256" s="43"/>
      <c r="X256" s="43">
        <v>19.260000000000002</v>
      </c>
      <c r="Y256" s="43"/>
      <c r="Z256" s="43"/>
      <c r="AA256" s="43"/>
      <c r="AB256" s="43"/>
      <c r="AC256" s="43"/>
      <c r="AD256" s="43"/>
      <c r="AE256" s="43"/>
      <c r="AF256" s="43"/>
      <c r="AG256" s="43"/>
      <c r="AH256" s="43"/>
      <c r="AI256" s="43"/>
      <c r="AJ256" s="43"/>
      <c r="AK256" s="43"/>
      <c r="AL256" s="43"/>
      <c r="AM256" s="43"/>
      <c r="AN256" s="43"/>
      <c r="AO256" s="43"/>
      <c r="AP256" s="43"/>
      <c r="AQ256" s="43"/>
      <c r="AR256" s="53"/>
      <c r="AS256" s="52"/>
      <c r="AT256" s="43"/>
      <c r="AU256" s="43"/>
      <c r="AV256" s="43"/>
      <c r="AW256" s="43"/>
      <c r="AX256" s="43"/>
      <c r="AY256" s="43"/>
      <c r="AZ256" s="43"/>
      <c r="BA256" s="43"/>
      <c r="BB256" s="43"/>
      <c r="BC256" s="43"/>
      <c r="BD256" s="43"/>
      <c r="BE256" s="43"/>
      <c r="BF256" s="43"/>
      <c r="BG256" s="43"/>
      <c r="BH256" s="43"/>
      <c r="BI256" s="43"/>
      <c r="BJ256" s="43"/>
      <c r="BK256" s="43"/>
      <c r="BL256" s="43"/>
      <c r="BM256" s="43"/>
      <c r="BN256" s="43"/>
      <c r="BO256" s="43"/>
      <c r="BP256" s="43"/>
      <c r="BQ256" s="43"/>
      <c r="BR256" s="43"/>
      <c r="BS256" s="43"/>
      <c r="BT256" s="43"/>
      <c r="BU256" s="43"/>
      <c r="BV256" s="43"/>
      <c r="BW256" s="53"/>
      <c r="BX256" s="30">
        <f t="shared" si="54"/>
        <v>0</v>
      </c>
      <c r="BY256" s="52">
        <f t="shared" si="71"/>
        <v>0</v>
      </c>
      <c r="BZ256" s="48">
        <f t="shared" si="74"/>
        <v>19.260000000000002</v>
      </c>
      <c r="CA256" s="43"/>
      <c r="CB256" s="43"/>
      <c r="CC256" s="43"/>
      <c r="CD256" s="43"/>
      <c r="CE256" s="43"/>
      <c r="CF256" s="43"/>
      <c r="CG256" s="53"/>
      <c r="CH256" s="52"/>
      <c r="CI256" s="43"/>
      <c r="CJ256" s="43"/>
      <c r="CK256" s="43"/>
      <c r="CL256" s="43"/>
      <c r="CM256" s="43"/>
      <c r="CN256" s="43"/>
      <c r="CO256" s="43"/>
      <c r="CP256" s="43"/>
      <c r="CQ256" s="43"/>
      <c r="CR256" s="43"/>
      <c r="CS256" s="43"/>
      <c r="CT256" s="43"/>
      <c r="CU256" s="43"/>
      <c r="CV256" s="43"/>
      <c r="CW256" s="43"/>
      <c r="CX256" s="43"/>
      <c r="CY256" s="43"/>
      <c r="CZ256" s="7"/>
      <c r="DA256" s="7"/>
      <c r="DB256" s="43"/>
      <c r="DC256" s="43"/>
      <c r="DD256" s="53"/>
      <c r="DE256" s="73">
        <f t="shared" si="56"/>
        <v>0</v>
      </c>
      <c r="DG256" s="52"/>
      <c r="DH256" s="43"/>
      <c r="DI256" s="50">
        <f t="shared" si="57"/>
        <v>6628.0433333333322</v>
      </c>
      <c r="DK256" s="52"/>
      <c r="DL256" s="43"/>
      <c r="DM256" s="50">
        <f t="shared" si="58"/>
        <v>4432.51</v>
      </c>
      <c r="DO256" s="52"/>
      <c r="DP256" s="43"/>
      <c r="DQ256" s="50">
        <f t="shared" si="59"/>
        <v>7995.9800000000032</v>
      </c>
      <c r="DT256" s="52"/>
      <c r="DU256" s="43"/>
      <c r="DV256" s="50">
        <f t="shared" si="60"/>
        <v>518.17000000000007</v>
      </c>
      <c r="DX256" s="52"/>
      <c r="DY256" s="43"/>
      <c r="DZ256" s="53">
        <f t="shared" si="61"/>
        <v>617.75</v>
      </c>
      <c r="EB256" s="52"/>
      <c r="EC256" s="43"/>
      <c r="ED256" s="53">
        <f t="shared" si="62"/>
        <v>500</v>
      </c>
      <c r="EF256" s="52"/>
      <c r="EG256" s="43"/>
      <c r="EH256" s="53">
        <f t="shared" si="63"/>
        <v>1048.04</v>
      </c>
      <c r="EJ256" s="65"/>
      <c r="EK256" s="7"/>
      <c r="EL256" s="53">
        <f t="shared" si="64"/>
        <v>25.299999999999997</v>
      </c>
      <c r="EN256" s="51">
        <f t="shared" si="65"/>
        <v>-5154.8333333333176</v>
      </c>
      <c r="EP256" s="60">
        <f t="shared" si="66"/>
        <v>0</v>
      </c>
      <c r="EQ256" s="61">
        <f t="shared" si="67"/>
        <v>0</v>
      </c>
      <c r="ER256" s="15">
        <f t="shared" si="68"/>
        <v>0</v>
      </c>
      <c r="ES256" s="163">
        <f t="shared" si="73"/>
        <v>0</v>
      </c>
      <c r="EU256">
        <v>249</v>
      </c>
    </row>
    <row r="257" spans="1:151" x14ac:dyDescent="0.45">
      <c r="A257" s="9">
        <v>45698</v>
      </c>
      <c r="B257" t="s">
        <v>951</v>
      </c>
      <c r="C257" s="4" t="s">
        <v>633</v>
      </c>
      <c r="D257" s="7"/>
      <c r="E257">
        <v>38.68</v>
      </c>
      <c r="F257" s="43"/>
      <c r="G257" s="16">
        <f t="shared" si="55"/>
        <v>16649.640000000018</v>
      </c>
      <c r="H257" s="64" t="s">
        <v>625</v>
      </c>
      <c r="I257" s="52"/>
      <c r="J257" s="43"/>
      <c r="K257" s="43"/>
      <c r="L257" s="43"/>
      <c r="M257" s="43"/>
      <c r="N257" s="43"/>
      <c r="O257" s="43"/>
      <c r="P257" s="43"/>
      <c r="Q257" s="43"/>
      <c r="R257" s="43"/>
      <c r="S257" s="43"/>
      <c r="T257" s="43"/>
      <c r="U257" s="43"/>
      <c r="V257" s="43"/>
      <c r="W257" s="43"/>
      <c r="X257" s="43"/>
      <c r="Y257" s="43">
        <v>38.68</v>
      </c>
      <c r="Z257" s="43"/>
      <c r="AA257" s="43"/>
      <c r="AB257" s="43"/>
      <c r="AC257" s="43"/>
      <c r="AD257" s="43"/>
      <c r="AE257" s="43"/>
      <c r="AF257" s="43"/>
      <c r="AG257" s="43"/>
      <c r="AH257" s="43"/>
      <c r="AI257" s="43"/>
      <c r="AJ257" s="43"/>
      <c r="AK257" s="43"/>
      <c r="AL257" s="43"/>
      <c r="AM257" s="43"/>
      <c r="AN257" s="43"/>
      <c r="AO257" s="43"/>
      <c r="AP257" s="43"/>
      <c r="AQ257" s="43"/>
      <c r="AR257" s="53"/>
      <c r="AS257" s="52"/>
      <c r="AT257" s="43"/>
      <c r="AU257" s="43"/>
      <c r="AV257" s="43"/>
      <c r="AW257" s="43"/>
      <c r="AX257" s="43"/>
      <c r="AY257" s="43"/>
      <c r="AZ257" s="43"/>
      <c r="BA257" s="43"/>
      <c r="BB257" s="43"/>
      <c r="BC257" s="43"/>
      <c r="BD257" s="43"/>
      <c r="BE257" s="43"/>
      <c r="BF257" s="43"/>
      <c r="BG257" s="43"/>
      <c r="BH257" s="43"/>
      <c r="BI257" s="43"/>
      <c r="BJ257" s="43"/>
      <c r="BK257" s="43"/>
      <c r="BL257" s="43"/>
      <c r="BM257" s="43"/>
      <c r="BN257" s="43"/>
      <c r="BO257" s="43"/>
      <c r="BP257" s="43"/>
      <c r="BQ257" s="43"/>
      <c r="BR257" s="43"/>
      <c r="BS257" s="43"/>
      <c r="BT257" s="43"/>
      <c r="BU257" s="43"/>
      <c r="BV257" s="43"/>
      <c r="BW257" s="53"/>
      <c r="BX257" s="30">
        <f t="shared" si="54"/>
        <v>0</v>
      </c>
      <c r="BY257" s="52">
        <f t="shared" si="71"/>
        <v>0</v>
      </c>
      <c r="BZ257" s="48">
        <f t="shared" si="74"/>
        <v>38.68</v>
      </c>
      <c r="CA257" s="43"/>
      <c r="CB257" s="43"/>
      <c r="CC257" s="43"/>
      <c r="CD257" s="43"/>
      <c r="CE257" s="43"/>
      <c r="CF257" s="43"/>
      <c r="CG257" s="53"/>
      <c r="CH257" s="52"/>
      <c r="CI257" s="43"/>
      <c r="CJ257" s="43"/>
      <c r="CK257" s="43"/>
      <c r="CL257" s="43"/>
      <c r="CM257" s="43"/>
      <c r="CN257" s="43"/>
      <c r="CO257" s="43"/>
      <c r="CP257" s="43"/>
      <c r="CQ257" s="43"/>
      <c r="CR257" s="43"/>
      <c r="CS257" s="43"/>
      <c r="CT257" s="43"/>
      <c r="CU257" s="43"/>
      <c r="CV257" s="43"/>
      <c r="CW257" s="43"/>
      <c r="CX257" s="43"/>
      <c r="CY257" s="43"/>
      <c r="CZ257" s="7"/>
      <c r="DA257" s="7"/>
      <c r="DB257" s="43"/>
      <c r="DC257" s="43"/>
      <c r="DD257" s="53"/>
      <c r="DE257" s="73">
        <f t="shared" si="56"/>
        <v>0</v>
      </c>
      <c r="DG257" s="52"/>
      <c r="DH257" s="43"/>
      <c r="DI257" s="50">
        <f t="shared" si="57"/>
        <v>6628.0433333333322</v>
      </c>
      <c r="DK257" s="52"/>
      <c r="DL257" s="43"/>
      <c r="DM257" s="50">
        <f t="shared" si="58"/>
        <v>4432.51</v>
      </c>
      <c r="DO257" s="52"/>
      <c r="DP257" s="43"/>
      <c r="DQ257" s="50">
        <f t="shared" si="59"/>
        <v>7995.9800000000032</v>
      </c>
      <c r="DT257" s="52"/>
      <c r="DU257" s="43"/>
      <c r="DV257" s="50">
        <f t="shared" si="60"/>
        <v>518.17000000000007</v>
      </c>
      <c r="DX257" s="52"/>
      <c r="DY257" s="43"/>
      <c r="DZ257" s="53">
        <f t="shared" si="61"/>
        <v>617.75</v>
      </c>
      <c r="EB257" s="52"/>
      <c r="EC257" s="43"/>
      <c r="ED257" s="53">
        <f t="shared" si="62"/>
        <v>500</v>
      </c>
      <c r="EF257" s="52"/>
      <c r="EG257" s="43"/>
      <c r="EH257" s="53">
        <f t="shared" si="63"/>
        <v>1048.04</v>
      </c>
      <c r="EJ257" s="65"/>
      <c r="EK257" s="7"/>
      <c r="EL257" s="53">
        <f t="shared" si="64"/>
        <v>25.299999999999997</v>
      </c>
      <c r="EN257" s="51">
        <f t="shared" si="65"/>
        <v>-5116.1533333333173</v>
      </c>
      <c r="EP257" s="60">
        <f t="shared" si="66"/>
        <v>0</v>
      </c>
      <c r="EQ257" s="61">
        <f t="shared" si="67"/>
        <v>0</v>
      </c>
      <c r="ER257" s="15">
        <f t="shared" si="68"/>
        <v>0</v>
      </c>
      <c r="ES257" s="62">
        <f t="shared" si="73"/>
        <v>0</v>
      </c>
      <c r="EU257" s="6">
        <v>250</v>
      </c>
    </row>
    <row r="258" spans="1:151" x14ac:dyDescent="0.45">
      <c r="A258" s="9">
        <v>45698</v>
      </c>
      <c r="B258" t="s">
        <v>952</v>
      </c>
      <c r="C258" s="4" t="s">
        <v>633</v>
      </c>
      <c r="D258" s="7"/>
      <c r="E258">
        <v>91.76</v>
      </c>
      <c r="F258" s="43"/>
      <c r="G258" s="16">
        <f t="shared" si="55"/>
        <v>16741.400000000016</v>
      </c>
      <c r="H258" s="64" t="s">
        <v>625</v>
      </c>
      <c r="I258" s="52"/>
      <c r="J258" s="43"/>
      <c r="K258" s="43"/>
      <c r="L258" s="43"/>
      <c r="M258" s="43"/>
      <c r="N258" s="43"/>
      <c r="O258" s="43"/>
      <c r="P258" s="43"/>
      <c r="Q258" s="43"/>
      <c r="R258" s="43"/>
      <c r="S258" s="43"/>
      <c r="T258" s="43"/>
      <c r="U258" s="43"/>
      <c r="V258" s="43"/>
      <c r="W258" s="43"/>
      <c r="X258" s="43"/>
      <c r="Y258" s="43"/>
      <c r="Z258" s="43">
        <v>91.76</v>
      </c>
      <c r="AA258" s="43"/>
      <c r="AB258" s="43"/>
      <c r="AC258" s="43"/>
      <c r="AD258" s="43"/>
      <c r="AE258" s="43"/>
      <c r="AF258" s="43"/>
      <c r="AG258" s="43"/>
      <c r="AH258" s="43"/>
      <c r="AI258" s="43"/>
      <c r="AJ258" s="43"/>
      <c r="AK258" s="43"/>
      <c r="AL258" s="43"/>
      <c r="AM258" s="43"/>
      <c r="AN258" s="43"/>
      <c r="AO258" s="43"/>
      <c r="AP258" s="43"/>
      <c r="AQ258" s="43"/>
      <c r="AR258" s="53"/>
      <c r="AS258" s="52"/>
      <c r="AT258" s="43"/>
      <c r="AU258" s="43"/>
      <c r="AV258" s="43"/>
      <c r="AW258" s="43"/>
      <c r="AX258" s="43"/>
      <c r="AY258" s="43"/>
      <c r="AZ258" s="43"/>
      <c r="BA258" s="43"/>
      <c r="BB258" s="43"/>
      <c r="BC258" s="43"/>
      <c r="BD258" s="43"/>
      <c r="BE258" s="43"/>
      <c r="BF258" s="43"/>
      <c r="BG258" s="43"/>
      <c r="BH258" s="43"/>
      <c r="BI258" s="43"/>
      <c r="BJ258" s="43"/>
      <c r="BK258" s="43"/>
      <c r="BL258" s="43"/>
      <c r="BM258" s="43"/>
      <c r="BN258" s="43"/>
      <c r="BO258" s="43"/>
      <c r="BP258" s="43"/>
      <c r="BQ258" s="43"/>
      <c r="BR258" s="43"/>
      <c r="BS258" s="43"/>
      <c r="BT258" s="43"/>
      <c r="BU258" s="43"/>
      <c r="BV258" s="43"/>
      <c r="BW258" s="53"/>
      <c r="BX258" s="30">
        <f t="shared" si="54"/>
        <v>0</v>
      </c>
      <c r="BY258" s="52">
        <f t="shared" si="71"/>
        <v>0</v>
      </c>
      <c r="BZ258" s="48">
        <f t="shared" si="74"/>
        <v>91.76</v>
      </c>
      <c r="CA258" s="43"/>
      <c r="CB258" s="43"/>
      <c r="CC258" s="43"/>
      <c r="CD258" s="43"/>
      <c r="CE258" s="43"/>
      <c r="CF258" s="43"/>
      <c r="CG258" s="53"/>
      <c r="CH258" s="52"/>
      <c r="CI258" s="43"/>
      <c r="CJ258" s="43"/>
      <c r="CK258" s="43"/>
      <c r="CL258" s="43"/>
      <c r="CM258" s="43"/>
      <c r="CN258" s="43"/>
      <c r="CO258" s="43"/>
      <c r="CP258" s="43"/>
      <c r="CQ258" s="43"/>
      <c r="CR258" s="43"/>
      <c r="CS258" s="43"/>
      <c r="CT258" s="43"/>
      <c r="CU258" s="43"/>
      <c r="CV258" s="43"/>
      <c r="CW258" s="43"/>
      <c r="CX258" s="43"/>
      <c r="CY258" s="43"/>
      <c r="CZ258" s="7"/>
      <c r="DA258" s="7"/>
      <c r="DB258" s="43"/>
      <c r="DC258" s="43"/>
      <c r="DD258" s="53"/>
      <c r="DE258" s="73">
        <f t="shared" si="56"/>
        <v>0</v>
      </c>
      <c r="DG258" s="52"/>
      <c r="DH258" s="43"/>
      <c r="DI258" s="50">
        <f t="shared" si="57"/>
        <v>6628.0433333333322</v>
      </c>
      <c r="DK258" s="52"/>
      <c r="DL258" s="43"/>
      <c r="DM258" s="50">
        <f t="shared" si="58"/>
        <v>4432.51</v>
      </c>
      <c r="DO258" s="52"/>
      <c r="DP258" s="43"/>
      <c r="DQ258" s="50">
        <f t="shared" si="59"/>
        <v>7995.9800000000032</v>
      </c>
      <c r="DT258" s="52"/>
      <c r="DU258" s="43"/>
      <c r="DV258" s="50">
        <f t="shared" si="60"/>
        <v>518.17000000000007</v>
      </c>
      <c r="DX258" s="52"/>
      <c r="DY258" s="43"/>
      <c r="DZ258" s="53">
        <f t="shared" si="61"/>
        <v>617.75</v>
      </c>
      <c r="EB258" s="52"/>
      <c r="EC258" s="43"/>
      <c r="ED258" s="53">
        <f t="shared" si="62"/>
        <v>500</v>
      </c>
      <c r="EF258" s="52"/>
      <c r="EG258" s="43"/>
      <c r="EH258" s="53">
        <f t="shared" si="63"/>
        <v>1048.04</v>
      </c>
      <c r="EJ258" s="65"/>
      <c r="EK258" s="7"/>
      <c r="EL258" s="53">
        <f t="shared" si="64"/>
        <v>25.299999999999997</v>
      </c>
      <c r="EN258" s="51">
        <f t="shared" si="65"/>
        <v>-5024.3933333333189</v>
      </c>
      <c r="EP258" s="60">
        <f t="shared" si="66"/>
        <v>0</v>
      </c>
      <c r="EQ258" s="61">
        <f t="shared" si="67"/>
        <v>0</v>
      </c>
      <c r="ER258" s="15">
        <f t="shared" si="68"/>
        <v>0</v>
      </c>
      <c r="ES258" s="163">
        <f t="shared" si="73"/>
        <v>0</v>
      </c>
      <c r="EU258">
        <v>251</v>
      </c>
    </row>
    <row r="259" spans="1:151" x14ac:dyDescent="0.45">
      <c r="A259" s="9">
        <v>45698</v>
      </c>
      <c r="B259" t="s">
        <v>953</v>
      </c>
      <c r="C259" s="4" t="s">
        <v>633</v>
      </c>
      <c r="D259" s="7"/>
      <c r="E259">
        <v>38.68</v>
      </c>
      <c r="F259" s="43"/>
      <c r="G259" s="16">
        <f t="shared" si="55"/>
        <v>16780.080000000016</v>
      </c>
      <c r="H259" s="64" t="s">
        <v>625</v>
      </c>
      <c r="I259" s="52"/>
      <c r="J259" s="43"/>
      <c r="K259" s="43"/>
      <c r="L259" s="43"/>
      <c r="M259" s="43"/>
      <c r="N259" s="43"/>
      <c r="O259" s="43"/>
      <c r="P259" s="43"/>
      <c r="Q259" s="43"/>
      <c r="R259" s="43"/>
      <c r="S259" s="43"/>
      <c r="T259" s="43"/>
      <c r="U259" s="43"/>
      <c r="V259" s="43"/>
      <c r="W259" s="43"/>
      <c r="X259" s="43"/>
      <c r="Y259" s="43"/>
      <c r="Z259" s="43">
        <v>38.68</v>
      </c>
      <c r="AA259" s="43"/>
      <c r="AB259" s="43"/>
      <c r="AC259" s="43"/>
      <c r="AD259" s="43"/>
      <c r="AE259" s="43"/>
      <c r="AF259" s="43"/>
      <c r="AG259" s="43"/>
      <c r="AH259" s="43"/>
      <c r="AI259" s="43"/>
      <c r="AJ259" s="43"/>
      <c r="AK259" s="43"/>
      <c r="AL259" s="43"/>
      <c r="AM259" s="43"/>
      <c r="AN259" s="43"/>
      <c r="AO259" s="43"/>
      <c r="AP259" s="43"/>
      <c r="AQ259" s="43"/>
      <c r="AR259" s="53"/>
      <c r="AS259" s="52"/>
      <c r="AT259" s="43"/>
      <c r="AU259" s="43"/>
      <c r="AV259" s="43"/>
      <c r="AW259" s="43"/>
      <c r="AX259" s="43"/>
      <c r="AY259" s="43"/>
      <c r="AZ259" s="43"/>
      <c r="BA259" s="43"/>
      <c r="BB259" s="43"/>
      <c r="BC259" s="43"/>
      <c r="BD259" s="43"/>
      <c r="BE259" s="43"/>
      <c r="BF259" s="43"/>
      <c r="BG259" s="43"/>
      <c r="BH259" s="43"/>
      <c r="BI259" s="43"/>
      <c r="BJ259" s="43"/>
      <c r="BK259" s="43"/>
      <c r="BL259" s="43"/>
      <c r="BM259" s="43"/>
      <c r="BN259" s="43"/>
      <c r="BO259" s="43"/>
      <c r="BP259" s="43"/>
      <c r="BQ259" s="43"/>
      <c r="BR259" s="43"/>
      <c r="BS259" s="43"/>
      <c r="BT259" s="43"/>
      <c r="BU259" s="43"/>
      <c r="BV259" s="43"/>
      <c r="BW259" s="53"/>
      <c r="BX259" s="30">
        <f t="shared" si="54"/>
        <v>0</v>
      </c>
      <c r="BY259" s="52">
        <f t="shared" si="71"/>
        <v>0</v>
      </c>
      <c r="BZ259" s="48">
        <f t="shared" si="74"/>
        <v>38.68</v>
      </c>
      <c r="CA259" s="43"/>
      <c r="CB259" s="43"/>
      <c r="CC259" s="43"/>
      <c r="CD259" s="43"/>
      <c r="CE259" s="43"/>
      <c r="CF259" s="43"/>
      <c r="CG259" s="53"/>
      <c r="CH259" s="52"/>
      <c r="CI259" s="43"/>
      <c r="CJ259" s="43"/>
      <c r="CK259" s="43"/>
      <c r="CL259" s="43"/>
      <c r="CM259" s="43"/>
      <c r="CN259" s="43"/>
      <c r="CO259" s="43"/>
      <c r="CP259" s="43"/>
      <c r="CQ259" s="43"/>
      <c r="CR259" s="43"/>
      <c r="CS259" s="43"/>
      <c r="CT259" s="43"/>
      <c r="CU259" s="43"/>
      <c r="CV259" s="43"/>
      <c r="CW259" s="43"/>
      <c r="CX259" s="43"/>
      <c r="CY259" s="43"/>
      <c r="CZ259" s="7"/>
      <c r="DA259" s="7"/>
      <c r="DB259" s="43"/>
      <c r="DC259" s="43"/>
      <c r="DD259" s="53"/>
      <c r="DE259" s="73">
        <f t="shared" si="56"/>
        <v>0</v>
      </c>
      <c r="DG259" s="52"/>
      <c r="DH259" s="43"/>
      <c r="DI259" s="50">
        <f t="shared" si="57"/>
        <v>6628.0433333333322</v>
      </c>
      <c r="DK259" s="52"/>
      <c r="DL259" s="43"/>
      <c r="DM259" s="50">
        <f t="shared" si="58"/>
        <v>4432.51</v>
      </c>
      <c r="DO259" s="52"/>
      <c r="DP259" s="43"/>
      <c r="DQ259" s="50">
        <f t="shared" si="59"/>
        <v>7995.9800000000032</v>
      </c>
      <c r="DT259" s="52"/>
      <c r="DU259" s="43"/>
      <c r="DV259" s="50">
        <f t="shared" si="60"/>
        <v>518.17000000000007</v>
      </c>
      <c r="DX259" s="52"/>
      <c r="DY259" s="43"/>
      <c r="DZ259" s="53">
        <f t="shared" si="61"/>
        <v>617.75</v>
      </c>
      <c r="EB259" s="52"/>
      <c r="EC259" s="43"/>
      <c r="ED259" s="53">
        <f t="shared" si="62"/>
        <v>500</v>
      </c>
      <c r="EF259" s="52"/>
      <c r="EG259" s="43"/>
      <c r="EH259" s="53">
        <f t="shared" si="63"/>
        <v>1048.04</v>
      </c>
      <c r="EJ259" s="65"/>
      <c r="EK259" s="7"/>
      <c r="EL259" s="53">
        <f t="shared" si="64"/>
        <v>25.299999999999997</v>
      </c>
      <c r="EN259" s="51">
        <f t="shared" si="65"/>
        <v>-4985.7133333333186</v>
      </c>
      <c r="EP259" s="60">
        <f t="shared" si="66"/>
        <v>0</v>
      </c>
      <c r="EQ259" s="61">
        <f t="shared" si="67"/>
        <v>0</v>
      </c>
      <c r="ER259" s="15">
        <f t="shared" si="68"/>
        <v>0</v>
      </c>
      <c r="ES259" s="62">
        <f t="shared" si="73"/>
        <v>0</v>
      </c>
      <c r="EU259" s="6">
        <v>252</v>
      </c>
    </row>
    <row r="260" spans="1:151" x14ac:dyDescent="0.45">
      <c r="A260" s="9">
        <v>45698</v>
      </c>
      <c r="B260" t="s">
        <v>954</v>
      </c>
      <c r="C260" s="4" t="s">
        <v>633</v>
      </c>
      <c r="D260" s="7"/>
      <c r="E260">
        <v>43.53</v>
      </c>
      <c r="F260" s="43"/>
      <c r="G260" s="16">
        <f t="shared" si="55"/>
        <v>16823.610000000015</v>
      </c>
      <c r="H260" s="64" t="s">
        <v>625</v>
      </c>
      <c r="I260" s="52"/>
      <c r="J260" s="43"/>
      <c r="K260" s="43"/>
      <c r="L260" s="43"/>
      <c r="M260" s="43"/>
      <c r="N260" s="43"/>
      <c r="O260" s="43"/>
      <c r="P260" s="43"/>
      <c r="Q260" s="43"/>
      <c r="R260" s="43"/>
      <c r="S260" s="43"/>
      <c r="T260" s="43"/>
      <c r="U260" s="43"/>
      <c r="V260" s="43"/>
      <c r="W260" s="43"/>
      <c r="X260" s="43"/>
      <c r="Y260" s="43"/>
      <c r="Z260" s="43"/>
      <c r="AA260" s="43"/>
      <c r="AB260" s="43">
        <v>43.53</v>
      </c>
      <c r="AC260" s="43"/>
      <c r="AD260" s="43"/>
      <c r="AE260" s="43"/>
      <c r="AF260" s="43"/>
      <c r="AG260" s="43"/>
      <c r="AH260" s="43"/>
      <c r="AI260" s="43"/>
      <c r="AJ260" s="43"/>
      <c r="AK260" s="43"/>
      <c r="AL260" s="43"/>
      <c r="AM260" s="43"/>
      <c r="AN260" s="43"/>
      <c r="AO260" s="43"/>
      <c r="AP260" s="43"/>
      <c r="AQ260" s="43"/>
      <c r="AR260" s="53"/>
      <c r="AS260" s="52"/>
      <c r="AT260" s="43"/>
      <c r="AU260" s="43"/>
      <c r="AV260" s="43"/>
      <c r="AW260" s="43"/>
      <c r="AX260" s="43"/>
      <c r="AY260" s="43"/>
      <c r="AZ260" s="43"/>
      <c r="BA260" s="43"/>
      <c r="BB260" s="43"/>
      <c r="BC260" s="43"/>
      <c r="BD260" s="43"/>
      <c r="BE260" s="43"/>
      <c r="BF260" s="43"/>
      <c r="BG260" s="43"/>
      <c r="BH260" s="43"/>
      <c r="BI260" s="43"/>
      <c r="BJ260" s="43"/>
      <c r="BK260" s="43"/>
      <c r="BL260" s="43"/>
      <c r="BM260" s="43"/>
      <c r="BN260" s="43"/>
      <c r="BO260" s="43"/>
      <c r="BP260" s="43"/>
      <c r="BQ260" s="43"/>
      <c r="BR260" s="43"/>
      <c r="BS260" s="43"/>
      <c r="BT260" s="43"/>
      <c r="BU260" s="43"/>
      <c r="BV260" s="43"/>
      <c r="BW260" s="53"/>
      <c r="BX260" s="30">
        <f t="shared" si="54"/>
        <v>0</v>
      </c>
      <c r="BY260" s="52">
        <f t="shared" si="71"/>
        <v>0</v>
      </c>
      <c r="BZ260" s="48">
        <f t="shared" si="74"/>
        <v>43.53</v>
      </c>
      <c r="CA260" s="43"/>
      <c r="CB260" s="43"/>
      <c r="CC260" s="43"/>
      <c r="CD260" s="43"/>
      <c r="CE260" s="43"/>
      <c r="CF260" s="43"/>
      <c r="CG260" s="53"/>
      <c r="CH260" s="52"/>
      <c r="CI260" s="43"/>
      <c r="CJ260" s="43"/>
      <c r="CK260" s="43"/>
      <c r="CL260" s="43"/>
      <c r="CM260" s="43"/>
      <c r="CN260" s="43"/>
      <c r="CO260" s="43"/>
      <c r="CP260" s="43"/>
      <c r="CQ260" s="43"/>
      <c r="CR260" s="43"/>
      <c r="CS260" s="43"/>
      <c r="CT260" s="43"/>
      <c r="CU260" s="43"/>
      <c r="CV260" s="43"/>
      <c r="CW260" s="43"/>
      <c r="CX260" s="43"/>
      <c r="CY260" s="43"/>
      <c r="CZ260" s="7"/>
      <c r="DA260" s="7"/>
      <c r="DB260" s="43"/>
      <c r="DC260" s="43"/>
      <c r="DD260" s="53"/>
      <c r="DE260" s="73">
        <f t="shared" si="56"/>
        <v>0</v>
      </c>
      <c r="DG260" s="52"/>
      <c r="DH260" s="43"/>
      <c r="DI260" s="50">
        <f t="shared" si="57"/>
        <v>6628.0433333333322</v>
      </c>
      <c r="DK260" s="52"/>
      <c r="DL260" s="43"/>
      <c r="DM260" s="50">
        <f t="shared" si="58"/>
        <v>4432.51</v>
      </c>
      <c r="DO260" s="52"/>
      <c r="DP260" s="43"/>
      <c r="DQ260" s="50">
        <f t="shared" si="59"/>
        <v>7995.9800000000032</v>
      </c>
      <c r="DT260" s="52"/>
      <c r="DU260" s="43"/>
      <c r="DV260" s="50">
        <f t="shared" si="60"/>
        <v>518.17000000000007</v>
      </c>
      <c r="DX260" s="52"/>
      <c r="DY260" s="43"/>
      <c r="DZ260" s="53">
        <f t="shared" si="61"/>
        <v>617.75</v>
      </c>
      <c r="EB260" s="52"/>
      <c r="EC260" s="43"/>
      <c r="ED260" s="53">
        <f t="shared" si="62"/>
        <v>500</v>
      </c>
      <c r="EF260" s="52"/>
      <c r="EG260" s="43"/>
      <c r="EH260" s="53">
        <f t="shared" si="63"/>
        <v>1048.04</v>
      </c>
      <c r="EJ260" s="65"/>
      <c r="EK260" s="7"/>
      <c r="EL260" s="53">
        <f t="shared" si="64"/>
        <v>25.299999999999997</v>
      </c>
      <c r="EN260" s="51">
        <f t="shared" si="65"/>
        <v>-4942.1833333333198</v>
      </c>
      <c r="EP260" s="60">
        <f t="shared" si="66"/>
        <v>0</v>
      </c>
      <c r="EQ260" s="61">
        <f t="shared" si="67"/>
        <v>0</v>
      </c>
      <c r="ER260" s="15">
        <f t="shared" si="68"/>
        <v>0</v>
      </c>
      <c r="ES260" s="163">
        <f t="shared" si="73"/>
        <v>-43.53</v>
      </c>
      <c r="EU260">
        <v>253</v>
      </c>
    </row>
    <row r="261" spans="1:151" x14ac:dyDescent="0.45">
      <c r="A261" s="9">
        <v>45698</v>
      </c>
      <c r="B261" t="s">
        <v>955</v>
      </c>
      <c r="C261" s="4" t="s">
        <v>633</v>
      </c>
      <c r="D261" s="7"/>
      <c r="E261">
        <v>41.89</v>
      </c>
      <c r="F261" s="43"/>
      <c r="G261" s="16">
        <f t="shared" si="55"/>
        <v>16865.500000000015</v>
      </c>
      <c r="H261" s="64" t="s">
        <v>625</v>
      </c>
      <c r="I261" s="52"/>
      <c r="J261" s="43"/>
      <c r="K261" s="43"/>
      <c r="L261" s="43"/>
      <c r="M261" s="43"/>
      <c r="N261" s="43"/>
      <c r="O261" s="43"/>
      <c r="P261" s="43"/>
      <c r="Q261" s="43"/>
      <c r="R261" s="43"/>
      <c r="S261" s="43"/>
      <c r="T261" s="43"/>
      <c r="U261" s="43"/>
      <c r="V261" s="43"/>
      <c r="W261" s="43"/>
      <c r="X261" s="43"/>
      <c r="Y261" s="43">
        <v>41.89</v>
      </c>
      <c r="Z261" s="43"/>
      <c r="AA261" s="43"/>
      <c r="AB261" s="43"/>
      <c r="AC261" s="43"/>
      <c r="AD261" s="43"/>
      <c r="AE261" s="43"/>
      <c r="AF261" s="43"/>
      <c r="AG261" s="43"/>
      <c r="AH261" s="43"/>
      <c r="AI261" s="43"/>
      <c r="AJ261" s="43"/>
      <c r="AK261" s="43"/>
      <c r="AL261" s="43"/>
      <c r="AM261" s="43"/>
      <c r="AN261" s="43"/>
      <c r="AO261" s="43"/>
      <c r="AP261" s="43"/>
      <c r="AQ261" s="43"/>
      <c r="AR261" s="53"/>
      <c r="AS261" s="52"/>
      <c r="AT261" s="43"/>
      <c r="AU261" s="43"/>
      <c r="AV261" s="43"/>
      <c r="AW261" s="43"/>
      <c r="AX261" s="43"/>
      <c r="AY261" s="43"/>
      <c r="AZ261" s="43"/>
      <c r="BA261" s="43"/>
      <c r="BB261" s="43"/>
      <c r="BC261" s="43"/>
      <c r="BD261" s="43"/>
      <c r="BE261" s="43"/>
      <c r="BF261" s="43"/>
      <c r="BG261" s="43"/>
      <c r="BH261" s="43"/>
      <c r="BI261" s="43"/>
      <c r="BJ261" s="43"/>
      <c r="BK261" s="43"/>
      <c r="BL261" s="43"/>
      <c r="BM261" s="43"/>
      <c r="BN261" s="43"/>
      <c r="BO261" s="43"/>
      <c r="BP261" s="43"/>
      <c r="BQ261" s="43"/>
      <c r="BR261" s="43"/>
      <c r="BS261" s="43"/>
      <c r="BT261" s="43"/>
      <c r="BU261" s="43"/>
      <c r="BV261" s="43"/>
      <c r="BW261" s="53"/>
      <c r="BX261" s="30">
        <f t="shared" si="54"/>
        <v>0</v>
      </c>
      <c r="BY261" s="52">
        <f t="shared" si="71"/>
        <v>0</v>
      </c>
      <c r="BZ261" s="48">
        <f t="shared" si="74"/>
        <v>41.89</v>
      </c>
      <c r="CA261" s="43"/>
      <c r="CB261" s="43"/>
      <c r="CC261" s="43"/>
      <c r="CD261" s="43"/>
      <c r="CE261" s="43"/>
      <c r="CF261" s="43"/>
      <c r="CG261" s="53"/>
      <c r="CH261" s="52"/>
      <c r="CI261" s="43"/>
      <c r="CJ261" s="43"/>
      <c r="CK261" s="43"/>
      <c r="CL261" s="43"/>
      <c r="CM261" s="43"/>
      <c r="CN261" s="43"/>
      <c r="CO261" s="43"/>
      <c r="CP261" s="43"/>
      <c r="CQ261" s="43"/>
      <c r="CR261" s="43"/>
      <c r="CS261" s="43"/>
      <c r="CT261" s="43"/>
      <c r="CU261" s="43"/>
      <c r="CV261" s="43"/>
      <c r="CW261" s="43"/>
      <c r="CX261" s="43"/>
      <c r="CY261" s="43"/>
      <c r="CZ261" s="7"/>
      <c r="DA261" s="7"/>
      <c r="DB261" s="43"/>
      <c r="DC261" s="43"/>
      <c r="DD261" s="53"/>
      <c r="DE261" s="73">
        <f t="shared" si="56"/>
        <v>0</v>
      </c>
      <c r="DG261" s="52"/>
      <c r="DH261" s="43"/>
      <c r="DI261" s="50">
        <f t="shared" si="57"/>
        <v>6628.0433333333322</v>
      </c>
      <c r="DK261" s="52"/>
      <c r="DL261" s="43"/>
      <c r="DM261" s="50">
        <f t="shared" si="58"/>
        <v>4432.51</v>
      </c>
      <c r="DO261" s="52"/>
      <c r="DP261" s="43"/>
      <c r="DQ261" s="50">
        <f t="shared" si="59"/>
        <v>7995.9800000000032</v>
      </c>
      <c r="DT261" s="52"/>
      <c r="DU261" s="43"/>
      <c r="DV261" s="50">
        <f t="shared" si="60"/>
        <v>518.17000000000007</v>
      </c>
      <c r="DX261" s="52"/>
      <c r="DY261" s="43"/>
      <c r="DZ261" s="53">
        <f t="shared" si="61"/>
        <v>617.75</v>
      </c>
      <c r="EB261" s="52"/>
      <c r="EC261" s="43"/>
      <c r="ED261" s="53">
        <f t="shared" si="62"/>
        <v>500</v>
      </c>
      <c r="EF261" s="52"/>
      <c r="EG261" s="43"/>
      <c r="EH261" s="53">
        <f t="shared" si="63"/>
        <v>1048.04</v>
      </c>
      <c r="EJ261" s="65"/>
      <c r="EK261" s="7"/>
      <c r="EL261" s="53">
        <f t="shared" si="64"/>
        <v>25.299999999999997</v>
      </c>
      <c r="EN261" s="51">
        <f t="shared" si="65"/>
        <v>-4900.2933333333203</v>
      </c>
      <c r="EP261" s="60">
        <f t="shared" si="66"/>
        <v>0</v>
      </c>
      <c r="EQ261" s="61">
        <f t="shared" si="67"/>
        <v>0</v>
      </c>
      <c r="ER261" s="15">
        <f t="shared" si="68"/>
        <v>0</v>
      </c>
      <c r="ES261" s="62">
        <f t="shared" si="73"/>
        <v>0</v>
      </c>
      <c r="EU261" s="6">
        <v>254</v>
      </c>
    </row>
    <row r="262" spans="1:151" x14ac:dyDescent="0.45">
      <c r="A262" s="9">
        <v>45698</v>
      </c>
      <c r="B262" t="s">
        <v>956</v>
      </c>
      <c r="C262" s="4" t="s">
        <v>633</v>
      </c>
      <c r="D262" s="7"/>
      <c r="E262">
        <v>141.72</v>
      </c>
      <c r="F262" s="43"/>
      <c r="G262" s="16">
        <f t="shared" si="55"/>
        <v>17007.220000000016</v>
      </c>
      <c r="H262" s="64" t="s">
        <v>625</v>
      </c>
      <c r="I262" s="52"/>
      <c r="J262" s="43"/>
      <c r="K262" s="43"/>
      <c r="L262" s="43"/>
      <c r="M262" s="43"/>
      <c r="N262" s="43"/>
      <c r="O262" s="43"/>
      <c r="P262" s="43"/>
      <c r="Q262" s="43"/>
      <c r="R262" s="43"/>
      <c r="S262" s="43"/>
      <c r="T262" s="43"/>
      <c r="U262" s="43"/>
      <c r="V262" s="43"/>
      <c r="W262" s="43"/>
      <c r="X262" s="43">
        <v>141.72</v>
      </c>
      <c r="Y262" s="43"/>
      <c r="Z262" s="43"/>
      <c r="AA262" s="43"/>
      <c r="AB262" s="43"/>
      <c r="AC262" s="43"/>
      <c r="AD262" s="43"/>
      <c r="AE262" s="43"/>
      <c r="AF262" s="43"/>
      <c r="AG262" s="43"/>
      <c r="AH262" s="43"/>
      <c r="AI262" s="43"/>
      <c r="AJ262" s="43"/>
      <c r="AK262" s="43"/>
      <c r="AL262" s="43"/>
      <c r="AM262" s="43"/>
      <c r="AN262" s="43"/>
      <c r="AO262" s="43"/>
      <c r="AP262" s="43"/>
      <c r="AQ262" s="43"/>
      <c r="AR262" s="53"/>
      <c r="AS262" s="52"/>
      <c r="AT262" s="43"/>
      <c r="AU262" s="43"/>
      <c r="AV262" s="43"/>
      <c r="AW262" s="43"/>
      <c r="AX262" s="43"/>
      <c r="AY262" s="43"/>
      <c r="AZ262" s="43"/>
      <c r="BA262" s="43"/>
      <c r="BB262" s="43"/>
      <c r="BC262" s="43"/>
      <c r="BD262" s="43"/>
      <c r="BE262" s="43"/>
      <c r="BF262" s="43"/>
      <c r="BG262" s="43"/>
      <c r="BH262" s="43"/>
      <c r="BI262" s="43"/>
      <c r="BJ262" s="43"/>
      <c r="BK262" s="43"/>
      <c r="BL262" s="43"/>
      <c r="BM262" s="43"/>
      <c r="BN262" s="43"/>
      <c r="BO262" s="43"/>
      <c r="BP262" s="43"/>
      <c r="BQ262" s="43"/>
      <c r="BR262" s="43"/>
      <c r="BS262" s="43"/>
      <c r="BT262" s="43"/>
      <c r="BU262" s="43"/>
      <c r="BV262" s="43"/>
      <c r="BW262" s="53"/>
      <c r="BX262" s="30">
        <f t="shared" si="54"/>
        <v>0</v>
      </c>
      <c r="BY262" s="52">
        <f t="shared" si="71"/>
        <v>0</v>
      </c>
      <c r="BZ262" s="48">
        <f t="shared" si="74"/>
        <v>141.72</v>
      </c>
      <c r="CA262" s="43"/>
      <c r="CB262" s="43"/>
      <c r="CC262" s="43"/>
      <c r="CD262" s="43"/>
      <c r="CE262" s="43"/>
      <c r="CF262" s="43"/>
      <c r="CG262" s="53"/>
      <c r="CH262" s="52"/>
      <c r="CI262" s="43"/>
      <c r="CJ262" s="43"/>
      <c r="CK262" s="43"/>
      <c r="CL262" s="43"/>
      <c r="CM262" s="43"/>
      <c r="CN262" s="43"/>
      <c r="CO262" s="43"/>
      <c r="CP262" s="43"/>
      <c r="CQ262" s="43"/>
      <c r="CR262" s="43"/>
      <c r="CS262" s="43"/>
      <c r="CT262" s="43"/>
      <c r="CU262" s="43"/>
      <c r="CV262" s="43"/>
      <c r="CW262" s="43"/>
      <c r="CX262" s="43"/>
      <c r="CY262" s="43"/>
      <c r="CZ262" s="7"/>
      <c r="DA262" s="7"/>
      <c r="DB262" s="43"/>
      <c r="DC262" s="43"/>
      <c r="DD262" s="53"/>
      <c r="DE262" s="73">
        <f t="shared" si="56"/>
        <v>0</v>
      </c>
      <c r="DG262" s="52"/>
      <c r="DH262" s="43"/>
      <c r="DI262" s="50">
        <f t="shared" si="57"/>
        <v>6628.0433333333322</v>
      </c>
      <c r="DK262" s="52"/>
      <c r="DL262" s="43"/>
      <c r="DM262" s="50">
        <f t="shared" si="58"/>
        <v>4432.51</v>
      </c>
      <c r="DO262" s="52"/>
      <c r="DP262" s="43"/>
      <c r="DQ262" s="50">
        <f t="shared" si="59"/>
        <v>7995.9800000000032</v>
      </c>
      <c r="DT262" s="52"/>
      <c r="DU262" s="43"/>
      <c r="DV262" s="50">
        <f t="shared" si="60"/>
        <v>518.17000000000007</v>
      </c>
      <c r="DX262" s="52"/>
      <c r="DY262" s="43"/>
      <c r="DZ262" s="53">
        <f t="shared" si="61"/>
        <v>617.75</v>
      </c>
      <c r="EB262" s="52"/>
      <c r="EC262" s="43"/>
      <c r="ED262" s="53">
        <f t="shared" si="62"/>
        <v>500</v>
      </c>
      <c r="EF262" s="52"/>
      <c r="EG262" s="43"/>
      <c r="EH262" s="53">
        <f t="shared" si="63"/>
        <v>1048.04</v>
      </c>
      <c r="EJ262" s="65"/>
      <c r="EK262" s="7"/>
      <c r="EL262" s="53">
        <f t="shared" si="64"/>
        <v>25.299999999999997</v>
      </c>
      <c r="EN262" s="51">
        <f t="shared" si="65"/>
        <v>-4758.5733333333192</v>
      </c>
      <c r="EP262" s="60">
        <f t="shared" si="66"/>
        <v>0</v>
      </c>
      <c r="EQ262" s="61">
        <f t="shared" si="67"/>
        <v>0</v>
      </c>
      <c r="ER262" s="15">
        <f t="shared" si="68"/>
        <v>0</v>
      </c>
      <c r="ES262" s="163">
        <f t="shared" si="73"/>
        <v>0</v>
      </c>
      <c r="EU262">
        <v>255</v>
      </c>
    </row>
    <row r="263" spans="1:151" x14ac:dyDescent="0.45">
      <c r="A263" s="9">
        <v>45699</v>
      </c>
      <c r="B263" t="s">
        <v>957</v>
      </c>
      <c r="C263" s="4" t="s">
        <v>633</v>
      </c>
      <c r="D263" s="7"/>
      <c r="E263">
        <v>38.68</v>
      </c>
      <c r="F263" s="43"/>
      <c r="G263" s="16">
        <f t="shared" si="55"/>
        <v>17045.900000000016</v>
      </c>
      <c r="H263" s="64" t="s">
        <v>625</v>
      </c>
      <c r="I263" s="52"/>
      <c r="J263" s="43"/>
      <c r="K263" s="43"/>
      <c r="L263" s="43"/>
      <c r="M263" s="43"/>
      <c r="N263" s="43"/>
      <c r="O263" s="43"/>
      <c r="P263" s="43"/>
      <c r="Q263" s="43"/>
      <c r="R263" s="43"/>
      <c r="S263" s="43"/>
      <c r="T263" s="43"/>
      <c r="U263" s="43"/>
      <c r="V263" s="43"/>
      <c r="W263" s="43"/>
      <c r="X263" s="43"/>
      <c r="Y263" s="43">
        <v>38.68</v>
      </c>
      <c r="Z263" s="43"/>
      <c r="AA263" s="43"/>
      <c r="AB263" s="43"/>
      <c r="AC263" s="43"/>
      <c r="AD263" s="43"/>
      <c r="AE263" s="43"/>
      <c r="AF263" s="43"/>
      <c r="AG263" s="43"/>
      <c r="AH263" s="43"/>
      <c r="AI263" s="43"/>
      <c r="AJ263" s="43"/>
      <c r="AK263" s="43"/>
      <c r="AL263" s="43"/>
      <c r="AM263" s="43"/>
      <c r="AN263" s="43"/>
      <c r="AO263" s="43"/>
      <c r="AP263" s="43"/>
      <c r="AQ263" s="43"/>
      <c r="AR263" s="53"/>
      <c r="AS263" s="52"/>
      <c r="AT263" s="43"/>
      <c r="AU263" s="43"/>
      <c r="AV263" s="43"/>
      <c r="AW263" s="43"/>
      <c r="AX263" s="43"/>
      <c r="AY263" s="43"/>
      <c r="AZ263" s="43"/>
      <c r="BA263" s="43"/>
      <c r="BB263" s="43"/>
      <c r="BC263" s="43"/>
      <c r="BD263" s="43"/>
      <c r="BE263" s="43"/>
      <c r="BF263" s="43"/>
      <c r="BG263" s="43"/>
      <c r="BH263" s="43"/>
      <c r="BI263" s="43"/>
      <c r="BJ263" s="43"/>
      <c r="BK263" s="43"/>
      <c r="BL263" s="43"/>
      <c r="BM263" s="43"/>
      <c r="BN263" s="43"/>
      <c r="BO263" s="43"/>
      <c r="BP263" s="43"/>
      <c r="BQ263" s="43"/>
      <c r="BR263" s="43"/>
      <c r="BS263" s="43"/>
      <c r="BT263" s="43"/>
      <c r="BU263" s="43"/>
      <c r="BV263" s="43"/>
      <c r="BW263" s="53"/>
      <c r="BX263" s="30">
        <f t="shared" ref="BX263:BX303" si="75">E263-SUM(I263:AR263)+F263-SUM(AS263:BW263)</f>
        <v>0</v>
      </c>
      <c r="BY263" s="52">
        <f t="shared" ref="BY263:BY286" si="76">SUM(I263:M263)</f>
        <v>0</v>
      </c>
      <c r="BZ263" s="48">
        <f t="shared" si="74"/>
        <v>38.68</v>
      </c>
      <c r="CA263" s="43"/>
      <c r="CB263" s="43"/>
      <c r="CC263" s="43"/>
      <c r="CD263" s="43"/>
      <c r="CE263" s="43"/>
      <c r="CF263" s="43"/>
      <c r="CG263" s="53"/>
      <c r="CH263" s="52"/>
      <c r="CI263" s="43"/>
      <c r="CJ263" s="43"/>
      <c r="CK263" s="43"/>
      <c r="CL263" s="43"/>
      <c r="CM263" s="43"/>
      <c r="CN263" s="43"/>
      <c r="CO263" s="43"/>
      <c r="CP263" s="43"/>
      <c r="CQ263" s="43"/>
      <c r="CR263" s="43"/>
      <c r="CS263" s="43"/>
      <c r="CT263" s="43"/>
      <c r="CU263" s="43"/>
      <c r="CV263" s="43"/>
      <c r="CW263" s="43"/>
      <c r="CX263" s="43"/>
      <c r="CY263" s="43"/>
      <c r="CZ263" s="7"/>
      <c r="DA263" s="7"/>
      <c r="DB263" s="43"/>
      <c r="DC263" s="43"/>
      <c r="DD263" s="53"/>
      <c r="DE263" s="73">
        <f t="shared" si="56"/>
        <v>0</v>
      </c>
      <c r="DG263" s="52"/>
      <c r="DH263" s="43"/>
      <c r="DI263" s="50">
        <f t="shared" si="57"/>
        <v>6628.0433333333322</v>
      </c>
      <c r="DK263" s="52"/>
      <c r="DL263" s="43"/>
      <c r="DM263" s="50">
        <f t="shared" si="58"/>
        <v>4432.51</v>
      </c>
      <c r="DO263" s="52"/>
      <c r="DP263" s="43"/>
      <c r="DQ263" s="50">
        <f t="shared" si="59"/>
        <v>7995.9800000000032</v>
      </c>
      <c r="DT263" s="52"/>
      <c r="DU263" s="43"/>
      <c r="DV263" s="50">
        <f t="shared" si="60"/>
        <v>518.17000000000007</v>
      </c>
      <c r="DX263" s="52"/>
      <c r="DY263" s="43"/>
      <c r="DZ263" s="53">
        <f t="shared" si="61"/>
        <v>617.75</v>
      </c>
      <c r="EB263" s="52"/>
      <c r="EC263" s="43"/>
      <c r="ED263" s="53">
        <f t="shared" si="62"/>
        <v>500</v>
      </c>
      <c r="EF263" s="52"/>
      <c r="EG263" s="43"/>
      <c r="EH263" s="53">
        <f t="shared" si="63"/>
        <v>1048.04</v>
      </c>
      <c r="EJ263" s="65"/>
      <c r="EK263" s="7"/>
      <c r="EL263" s="53">
        <f t="shared" si="64"/>
        <v>25.299999999999997</v>
      </c>
      <c r="EN263" s="51">
        <f t="shared" si="65"/>
        <v>-4719.8933333333189</v>
      </c>
      <c r="EP263" s="60">
        <f t="shared" si="66"/>
        <v>0</v>
      </c>
      <c r="EQ263" s="61">
        <f t="shared" si="67"/>
        <v>0</v>
      </c>
      <c r="ER263" s="15">
        <f t="shared" si="68"/>
        <v>0</v>
      </c>
      <c r="ES263" s="62">
        <f t="shared" si="73"/>
        <v>0</v>
      </c>
      <c r="EU263" s="6">
        <v>256</v>
      </c>
    </row>
    <row r="264" spans="1:151" x14ac:dyDescent="0.45">
      <c r="A264" s="9">
        <v>45700</v>
      </c>
      <c r="B264" t="s">
        <v>958</v>
      </c>
      <c r="C264" s="4" t="s">
        <v>633</v>
      </c>
      <c r="D264" s="7"/>
      <c r="E264">
        <v>348.12</v>
      </c>
      <c r="F264" s="43"/>
      <c r="G264" s="66">
        <f t="shared" ref="G264:G303" si="77">G263+E264-F264</f>
        <v>17394.020000000015</v>
      </c>
      <c r="H264" s="64" t="s">
        <v>625</v>
      </c>
      <c r="I264" s="52"/>
      <c r="J264" s="43"/>
      <c r="K264" s="43"/>
      <c r="L264" s="43"/>
      <c r="M264" s="43"/>
      <c r="N264" s="43"/>
      <c r="O264" s="43"/>
      <c r="P264" s="43"/>
      <c r="Q264" s="43"/>
      <c r="R264" s="43"/>
      <c r="S264" s="43"/>
      <c r="T264" s="43"/>
      <c r="U264" s="43"/>
      <c r="V264" s="43"/>
      <c r="W264" s="43"/>
      <c r="X264" s="43"/>
      <c r="Y264" s="43"/>
      <c r="Z264" s="43">
        <v>348.12</v>
      </c>
      <c r="AA264" s="43"/>
      <c r="AB264" s="43"/>
      <c r="AC264" s="43"/>
      <c r="AD264" s="43"/>
      <c r="AE264" s="43"/>
      <c r="AF264" s="43"/>
      <c r="AG264" s="43"/>
      <c r="AH264" s="43"/>
      <c r="AI264" s="43"/>
      <c r="AJ264" s="43"/>
      <c r="AK264" s="43"/>
      <c r="AL264" s="43"/>
      <c r="AM264" s="43"/>
      <c r="AN264" s="43"/>
      <c r="AO264" s="43"/>
      <c r="AP264" s="43"/>
      <c r="AQ264" s="43"/>
      <c r="AR264" s="53"/>
      <c r="AS264" s="52"/>
      <c r="AT264" s="43"/>
      <c r="AU264" s="43"/>
      <c r="AV264" s="43"/>
      <c r="AW264" s="43"/>
      <c r="AX264" s="43"/>
      <c r="AY264" s="43"/>
      <c r="AZ264" s="43"/>
      <c r="BA264" s="43"/>
      <c r="BB264" s="43"/>
      <c r="BC264" s="43"/>
      <c r="BD264" s="43"/>
      <c r="BE264" s="43"/>
      <c r="BF264" s="43"/>
      <c r="BG264" s="43"/>
      <c r="BH264" s="43"/>
      <c r="BI264" s="43"/>
      <c r="BJ264" s="43"/>
      <c r="BK264" s="43"/>
      <c r="BL264" s="43"/>
      <c r="BM264" s="43"/>
      <c r="BN264" s="43"/>
      <c r="BO264" s="43"/>
      <c r="BP264" s="43"/>
      <c r="BQ264" s="43"/>
      <c r="BR264" s="43"/>
      <c r="BS264" s="43"/>
      <c r="BT264" s="43"/>
      <c r="BU264" s="43"/>
      <c r="BV264" s="43"/>
      <c r="BW264" s="53"/>
      <c r="BX264" s="30">
        <f t="shared" si="75"/>
        <v>0</v>
      </c>
      <c r="BY264" s="52">
        <f t="shared" si="76"/>
        <v>0</v>
      </c>
      <c r="BZ264" s="48">
        <f t="shared" si="74"/>
        <v>348.12</v>
      </c>
      <c r="CA264" s="43"/>
      <c r="CB264" s="43"/>
      <c r="CC264" s="43"/>
      <c r="CD264" s="43"/>
      <c r="CE264" s="43"/>
      <c r="CF264" s="43"/>
      <c r="CG264" s="53"/>
      <c r="CH264" s="52"/>
      <c r="CI264" s="43"/>
      <c r="CJ264" s="43"/>
      <c r="CK264" s="43"/>
      <c r="CL264" s="43"/>
      <c r="CM264" s="43"/>
      <c r="CN264" s="43"/>
      <c r="CO264" s="43"/>
      <c r="CP264" s="43"/>
      <c r="CQ264" s="43"/>
      <c r="CR264" s="43"/>
      <c r="CS264" s="43"/>
      <c r="CT264" s="43"/>
      <c r="CU264" s="43"/>
      <c r="CV264" s="43"/>
      <c r="CW264" s="43"/>
      <c r="CX264" s="43"/>
      <c r="CY264" s="43"/>
      <c r="CZ264" s="7"/>
      <c r="DA264" s="7"/>
      <c r="DB264" s="43"/>
      <c r="DC264" s="43"/>
      <c r="DD264" s="53"/>
      <c r="DE264" s="73">
        <f t="shared" ref="DE264:DE303" si="78">SUM(E264:F264)-SUM(BY264:DD264)</f>
        <v>0</v>
      </c>
      <c r="DG264" s="52"/>
      <c r="DH264" s="43"/>
      <c r="DI264" s="50">
        <f t="shared" ref="DI264:DI301" si="79">SUM(DI263+DG264-DH264)</f>
        <v>6628.0433333333322</v>
      </c>
      <c r="DK264" s="52"/>
      <c r="DL264" s="43"/>
      <c r="DM264" s="50">
        <f t="shared" ref="DM264:DM301" si="80">SUM(DM263+DK264-DL264)</f>
        <v>4432.51</v>
      </c>
      <c r="DO264" s="52"/>
      <c r="DP264" s="43"/>
      <c r="DQ264" s="50">
        <f t="shared" ref="DQ264:DQ301" si="81">SUM(DQ263+DO264-DP264)</f>
        <v>7995.9800000000032</v>
      </c>
      <c r="DT264" s="52"/>
      <c r="DU264" s="43"/>
      <c r="DV264" s="50">
        <f t="shared" ref="DV264:DV301" si="82">SUM(DV263+DT264-DU264)</f>
        <v>518.17000000000007</v>
      </c>
      <c r="DX264" s="52"/>
      <c r="DY264" s="43"/>
      <c r="DZ264" s="53">
        <f t="shared" ref="DZ264:DZ301" si="83">DZ263+DX264-DY264</f>
        <v>617.75</v>
      </c>
      <c r="EB264" s="52"/>
      <c r="EC264" s="43"/>
      <c r="ED264" s="53">
        <f t="shared" ref="ED264:ED301" si="84">ED263+EB264-EC264</f>
        <v>500</v>
      </c>
      <c r="EF264" s="52"/>
      <c r="EG264" s="43"/>
      <c r="EH264" s="53">
        <f t="shared" ref="EH264:EH301" si="85">EH263+EF264-EG264</f>
        <v>1048.04</v>
      </c>
      <c r="EJ264" s="65"/>
      <c r="EK264" s="7"/>
      <c r="EL264" s="53">
        <f t="shared" ref="EL264:EL301" si="86">EL263+EJ264-EK264</f>
        <v>25.299999999999997</v>
      </c>
      <c r="EN264" s="51">
        <f t="shared" ref="EN264:EN301" si="87">G264-DI264-DM264-DQ264-DZ264-ED264-EH264-EL264-DV264</f>
        <v>-4371.7733333333199</v>
      </c>
      <c r="EP264" s="60">
        <f t="shared" ref="EP264:EP301" si="88">DH263-AS263-AX263-BD263-BI263-BN263-BS263</f>
        <v>0</v>
      </c>
      <c r="EQ264" s="61">
        <f t="shared" ref="EQ264:EQ303" si="89">+DL264-BT264-BO264-BJ264-BE264-AY264-AT264</f>
        <v>0</v>
      </c>
      <c r="ER264" s="15">
        <f t="shared" ref="ER264:ER301" si="90">+DP264-BU264-BP264-BK264-BF264-AZ264-AU264</f>
        <v>0</v>
      </c>
      <c r="ES264" s="163">
        <f t="shared" si="73"/>
        <v>0</v>
      </c>
      <c r="EU264">
        <v>257</v>
      </c>
    </row>
    <row r="265" spans="1:151" x14ac:dyDescent="0.45">
      <c r="A265" s="9">
        <v>45700</v>
      </c>
      <c r="B265" t="s">
        <v>959</v>
      </c>
      <c r="C265" s="4" t="s">
        <v>633</v>
      </c>
      <c r="D265" s="7"/>
      <c r="E265">
        <v>657.56</v>
      </c>
      <c r="F265" s="43"/>
      <c r="G265" s="16">
        <f t="shared" si="77"/>
        <v>18051.580000000016</v>
      </c>
      <c r="H265" s="64" t="s">
        <v>625</v>
      </c>
      <c r="I265" s="52"/>
      <c r="J265" s="43"/>
      <c r="K265" s="43"/>
      <c r="L265" s="43"/>
      <c r="M265" s="43"/>
      <c r="N265" s="43"/>
      <c r="O265" s="43"/>
      <c r="P265" s="43"/>
      <c r="Q265" s="43"/>
      <c r="R265" s="43"/>
      <c r="S265" s="43"/>
      <c r="T265" s="43"/>
      <c r="U265" s="43"/>
      <c r="V265" s="43"/>
      <c r="W265" s="43"/>
      <c r="X265" s="43">
        <v>657.56</v>
      </c>
      <c r="Y265" s="43"/>
      <c r="Z265" s="43"/>
      <c r="AA265" s="43"/>
      <c r="AB265" s="43"/>
      <c r="AC265" s="43"/>
      <c r="AD265" s="43"/>
      <c r="AE265" s="43"/>
      <c r="AF265" s="43"/>
      <c r="AG265" s="43"/>
      <c r="AH265" s="43"/>
      <c r="AI265" s="43"/>
      <c r="AJ265" s="43"/>
      <c r="AK265" s="43"/>
      <c r="AL265" s="43"/>
      <c r="AM265" s="43"/>
      <c r="AN265" s="43"/>
      <c r="AO265" s="43"/>
      <c r="AP265" s="43"/>
      <c r="AQ265" s="43"/>
      <c r="AR265" s="53"/>
      <c r="AS265" s="52"/>
      <c r="AT265" s="43"/>
      <c r="AU265" s="43"/>
      <c r="AV265" s="43"/>
      <c r="AW265" s="43"/>
      <c r="AX265" s="43"/>
      <c r="AY265" s="43"/>
      <c r="AZ265" s="43"/>
      <c r="BA265" s="43"/>
      <c r="BB265" s="43"/>
      <c r="BC265" s="43"/>
      <c r="BD265" s="43"/>
      <c r="BE265" s="43"/>
      <c r="BF265" s="43"/>
      <c r="BG265" s="43"/>
      <c r="BH265" s="43"/>
      <c r="BI265" s="43"/>
      <c r="BJ265" s="43"/>
      <c r="BK265" s="43"/>
      <c r="BL265" s="43"/>
      <c r="BM265" s="43"/>
      <c r="BN265" s="43"/>
      <c r="BO265" s="43"/>
      <c r="BP265" s="43"/>
      <c r="BQ265" s="43"/>
      <c r="BR265" s="43"/>
      <c r="BS265" s="43"/>
      <c r="BT265" s="43"/>
      <c r="BU265" s="43"/>
      <c r="BV265" s="43"/>
      <c r="BW265" s="53"/>
      <c r="BX265" s="30">
        <f t="shared" si="75"/>
        <v>0</v>
      </c>
      <c r="BY265" s="52">
        <f t="shared" si="76"/>
        <v>0</v>
      </c>
      <c r="BZ265" s="48">
        <f t="shared" si="74"/>
        <v>657.56</v>
      </c>
      <c r="CA265" s="43"/>
      <c r="CB265" s="43"/>
      <c r="CC265" s="43"/>
      <c r="CD265" s="43"/>
      <c r="CE265" s="43"/>
      <c r="CF265" s="43"/>
      <c r="CG265" s="53"/>
      <c r="CH265" s="52"/>
      <c r="CI265" s="43"/>
      <c r="CJ265" s="43"/>
      <c r="CK265" s="43"/>
      <c r="CL265" s="43"/>
      <c r="CM265" s="43"/>
      <c r="CN265" s="43"/>
      <c r="CO265" s="43"/>
      <c r="CP265" s="43"/>
      <c r="CQ265" s="43"/>
      <c r="CR265" s="43"/>
      <c r="CS265" s="43"/>
      <c r="CT265" s="43"/>
      <c r="CU265" s="43"/>
      <c r="CV265" s="43"/>
      <c r="CW265" s="43"/>
      <c r="CX265" s="43"/>
      <c r="CY265" s="43"/>
      <c r="CZ265" s="7"/>
      <c r="DA265" s="7"/>
      <c r="DB265" s="43"/>
      <c r="DC265" s="43"/>
      <c r="DD265" s="53"/>
      <c r="DE265" s="73">
        <f t="shared" si="78"/>
        <v>0</v>
      </c>
      <c r="DG265" s="52"/>
      <c r="DH265" s="43"/>
      <c r="DI265" s="50">
        <f t="shared" si="79"/>
        <v>6628.0433333333322</v>
      </c>
      <c r="DK265" s="52"/>
      <c r="DL265" s="43"/>
      <c r="DM265" s="50">
        <f t="shared" si="80"/>
        <v>4432.51</v>
      </c>
      <c r="DO265" s="52"/>
      <c r="DP265" s="43"/>
      <c r="DQ265" s="50">
        <f t="shared" si="81"/>
        <v>7995.9800000000032</v>
      </c>
      <c r="DT265" s="52"/>
      <c r="DU265" s="43"/>
      <c r="DV265" s="50">
        <f t="shared" si="82"/>
        <v>518.17000000000007</v>
      </c>
      <c r="DX265" s="52"/>
      <c r="DY265" s="43"/>
      <c r="DZ265" s="53">
        <f t="shared" si="83"/>
        <v>617.75</v>
      </c>
      <c r="EB265" s="52"/>
      <c r="EC265" s="43"/>
      <c r="ED265" s="53">
        <f t="shared" si="84"/>
        <v>500</v>
      </c>
      <c r="EF265" s="52"/>
      <c r="EG265" s="43"/>
      <c r="EH265" s="53">
        <f t="shared" si="85"/>
        <v>1048.04</v>
      </c>
      <c r="EJ265" s="65"/>
      <c r="EK265" s="7"/>
      <c r="EL265" s="53">
        <f t="shared" si="86"/>
        <v>25.299999999999997</v>
      </c>
      <c r="EN265" s="51">
        <f t="shared" si="87"/>
        <v>-3714.2133333333186</v>
      </c>
      <c r="EP265" s="60">
        <f t="shared" si="88"/>
        <v>0</v>
      </c>
      <c r="EQ265" s="61">
        <f t="shared" si="89"/>
        <v>0</v>
      </c>
      <c r="ER265" s="15">
        <f t="shared" si="90"/>
        <v>0</v>
      </c>
      <c r="ES265" s="62">
        <f t="shared" si="73"/>
        <v>0</v>
      </c>
      <c r="ET265" t="s">
        <v>1004</v>
      </c>
      <c r="EU265" s="6">
        <v>258</v>
      </c>
    </row>
    <row r="266" spans="1:151" x14ac:dyDescent="0.45">
      <c r="A266" s="9">
        <v>45701</v>
      </c>
      <c r="B266" t="s">
        <v>960</v>
      </c>
      <c r="C266" s="4" t="s">
        <v>633</v>
      </c>
      <c r="D266" s="7"/>
      <c r="E266">
        <v>77.36</v>
      </c>
      <c r="F266" s="43"/>
      <c r="G266" s="16">
        <f t="shared" si="77"/>
        <v>18128.940000000017</v>
      </c>
      <c r="H266" s="64" t="s">
        <v>625</v>
      </c>
      <c r="I266" s="52"/>
      <c r="J266" s="43"/>
      <c r="K266" s="43"/>
      <c r="L266" s="43"/>
      <c r="M266" s="43"/>
      <c r="N266" s="43"/>
      <c r="O266" s="43"/>
      <c r="P266" s="43"/>
      <c r="Q266" s="43"/>
      <c r="R266" s="43"/>
      <c r="S266" s="43"/>
      <c r="T266" s="43"/>
      <c r="U266" s="43"/>
      <c r="V266" s="43"/>
      <c r="W266" s="43"/>
      <c r="X266" s="43"/>
      <c r="Y266" s="43"/>
      <c r="Z266" s="43">
        <v>77.36</v>
      </c>
      <c r="AA266" s="43"/>
      <c r="AB266" s="43"/>
      <c r="AC266" s="43"/>
      <c r="AD266" s="43"/>
      <c r="AE266" s="43"/>
      <c r="AF266" s="43"/>
      <c r="AG266" s="43"/>
      <c r="AH266" s="43"/>
      <c r="AI266" s="43"/>
      <c r="AJ266" s="43"/>
      <c r="AK266" s="43"/>
      <c r="AL266" s="43"/>
      <c r="AM266" s="43"/>
      <c r="AN266" s="43"/>
      <c r="AO266" s="43"/>
      <c r="AP266" s="43"/>
      <c r="AQ266" s="43"/>
      <c r="AR266" s="53"/>
      <c r="AS266" s="52"/>
      <c r="AT266" s="43"/>
      <c r="AU266" s="43"/>
      <c r="AV266" s="43"/>
      <c r="AW266" s="43"/>
      <c r="AX266" s="43"/>
      <c r="AY266" s="43"/>
      <c r="AZ266" s="43"/>
      <c r="BA266" s="43"/>
      <c r="BB266" s="43"/>
      <c r="BC266" s="43"/>
      <c r="BD266" s="43"/>
      <c r="BE266" s="43"/>
      <c r="BF266" s="43"/>
      <c r="BG266" s="43"/>
      <c r="BH266" s="43"/>
      <c r="BI266" s="43"/>
      <c r="BJ266" s="43"/>
      <c r="BK266" s="43"/>
      <c r="BL266" s="43"/>
      <c r="BM266" s="43"/>
      <c r="BN266" s="43"/>
      <c r="BO266" s="43"/>
      <c r="BP266" s="43"/>
      <c r="BQ266" s="43"/>
      <c r="BR266" s="43"/>
      <c r="BS266" s="43"/>
      <c r="BT266" s="43"/>
      <c r="BU266" s="43"/>
      <c r="BV266" s="43"/>
      <c r="BW266" s="53"/>
      <c r="BX266" s="30">
        <f t="shared" si="75"/>
        <v>0</v>
      </c>
      <c r="BY266" s="52">
        <f t="shared" si="76"/>
        <v>0</v>
      </c>
      <c r="BZ266" s="48">
        <f t="shared" si="74"/>
        <v>77.36</v>
      </c>
      <c r="CA266" s="43"/>
      <c r="CB266" s="43"/>
      <c r="CC266" s="43"/>
      <c r="CD266" s="43"/>
      <c r="CE266" s="43"/>
      <c r="CF266" s="43"/>
      <c r="CG266" s="53"/>
      <c r="CH266" s="52"/>
      <c r="CI266" s="43"/>
      <c r="CJ266" s="43"/>
      <c r="CK266" s="43"/>
      <c r="CL266" s="43"/>
      <c r="CM266" s="43"/>
      <c r="CN266" s="43"/>
      <c r="CO266" s="43"/>
      <c r="CP266" s="43"/>
      <c r="CQ266" s="43"/>
      <c r="CR266" s="43"/>
      <c r="CS266" s="43"/>
      <c r="CT266" s="43"/>
      <c r="CU266" s="43"/>
      <c r="CV266" s="43"/>
      <c r="CW266" s="43"/>
      <c r="CX266" s="43"/>
      <c r="CY266" s="43"/>
      <c r="CZ266" s="7"/>
      <c r="DA266" s="7"/>
      <c r="DB266" s="43"/>
      <c r="DC266" s="43"/>
      <c r="DD266" s="53"/>
      <c r="DE266" s="73">
        <f t="shared" si="78"/>
        <v>0</v>
      </c>
      <c r="DG266" s="52"/>
      <c r="DH266" s="43"/>
      <c r="DI266" s="50">
        <f t="shared" si="79"/>
        <v>6628.0433333333322</v>
      </c>
      <c r="DK266" s="52"/>
      <c r="DL266" s="43"/>
      <c r="DM266" s="50">
        <f t="shared" si="80"/>
        <v>4432.51</v>
      </c>
      <c r="DO266" s="52"/>
      <c r="DP266" s="43"/>
      <c r="DQ266" s="50">
        <f t="shared" si="81"/>
        <v>7995.9800000000032</v>
      </c>
      <c r="DT266" s="52"/>
      <c r="DU266" s="43"/>
      <c r="DV266" s="50">
        <f t="shared" si="82"/>
        <v>518.17000000000007</v>
      </c>
      <c r="DX266" s="52"/>
      <c r="DY266" s="43"/>
      <c r="DZ266" s="53">
        <f t="shared" si="83"/>
        <v>617.75</v>
      </c>
      <c r="EB266" s="52"/>
      <c r="EC266" s="43"/>
      <c r="ED266" s="53">
        <f t="shared" si="84"/>
        <v>500</v>
      </c>
      <c r="EF266" s="52"/>
      <c r="EG266" s="43"/>
      <c r="EH266" s="53">
        <f t="shared" si="85"/>
        <v>1048.04</v>
      </c>
      <c r="EJ266" s="65"/>
      <c r="EK266" s="7"/>
      <c r="EL266" s="53">
        <f t="shared" si="86"/>
        <v>25.299999999999997</v>
      </c>
      <c r="EN266" s="51">
        <f t="shared" si="87"/>
        <v>-3636.853333333318</v>
      </c>
      <c r="EP266" s="60">
        <f t="shared" si="88"/>
        <v>0</v>
      </c>
      <c r="EQ266" s="61">
        <f t="shared" si="89"/>
        <v>0</v>
      </c>
      <c r="ER266" s="15">
        <f t="shared" si="90"/>
        <v>0</v>
      </c>
      <c r="ES266" s="163">
        <f t="shared" si="73"/>
        <v>0</v>
      </c>
      <c r="EU266">
        <v>259</v>
      </c>
    </row>
    <row r="267" spans="1:151" x14ac:dyDescent="0.45">
      <c r="A267" s="9">
        <v>45701</v>
      </c>
      <c r="B267" t="s">
        <v>961</v>
      </c>
      <c r="C267" s="4" t="s">
        <v>633</v>
      </c>
      <c r="D267" s="7"/>
      <c r="E267">
        <v>425.48</v>
      </c>
      <c r="F267" s="43"/>
      <c r="G267" s="16">
        <f t="shared" si="77"/>
        <v>18554.420000000016</v>
      </c>
      <c r="H267" s="64" t="s">
        <v>625</v>
      </c>
      <c r="I267" s="52"/>
      <c r="J267" s="43"/>
      <c r="K267" s="43"/>
      <c r="L267" s="43"/>
      <c r="M267" s="43"/>
      <c r="N267" s="43"/>
      <c r="O267" s="43"/>
      <c r="P267" s="43"/>
      <c r="Q267" s="43"/>
      <c r="R267" s="43"/>
      <c r="S267" s="43"/>
      <c r="T267" s="43"/>
      <c r="U267" s="43"/>
      <c r="V267" s="43"/>
      <c r="W267" s="43"/>
      <c r="X267" s="43"/>
      <c r="Y267" s="43"/>
      <c r="Z267" s="43"/>
      <c r="AA267" s="43"/>
      <c r="AB267" s="43">
        <v>425.48</v>
      </c>
      <c r="AC267" s="43"/>
      <c r="AD267" s="43"/>
      <c r="AE267" s="43"/>
      <c r="AF267" s="43"/>
      <c r="AG267" s="43"/>
      <c r="AH267" s="43"/>
      <c r="AI267" s="43"/>
      <c r="AJ267" s="43"/>
      <c r="AK267" s="43"/>
      <c r="AL267" s="43"/>
      <c r="AM267" s="43"/>
      <c r="AN267" s="43"/>
      <c r="AO267" s="43"/>
      <c r="AP267" s="43"/>
      <c r="AQ267" s="43"/>
      <c r="AR267" s="53"/>
      <c r="AS267" s="52"/>
      <c r="AT267" s="43"/>
      <c r="AU267" s="43"/>
      <c r="AV267" s="43"/>
      <c r="AW267" s="43"/>
      <c r="AX267" s="43"/>
      <c r="AY267" s="43"/>
      <c r="AZ267" s="43"/>
      <c r="BA267" s="43"/>
      <c r="BB267" s="43"/>
      <c r="BC267" s="43"/>
      <c r="BD267" s="43"/>
      <c r="BE267" s="43"/>
      <c r="BF267" s="43"/>
      <c r="BG267" s="43"/>
      <c r="BH267" s="43"/>
      <c r="BI267" s="43"/>
      <c r="BJ267" s="43"/>
      <c r="BK267" s="43"/>
      <c r="BL267" s="43"/>
      <c r="BM267" s="43"/>
      <c r="BN267" s="43"/>
      <c r="BO267" s="43"/>
      <c r="BP267" s="43"/>
      <c r="BQ267" s="43"/>
      <c r="BR267" s="43"/>
      <c r="BS267" s="43"/>
      <c r="BT267" s="43"/>
      <c r="BU267" s="43"/>
      <c r="BV267" s="43"/>
      <c r="BW267" s="53"/>
      <c r="BX267" s="30">
        <f t="shared" si="75"/>
        <v>0</v>
      </c>
      <c r="BY267" s="52">
        <f t="shared" si="76"/>
        <v>0</v>
      </c>
      <c r="BZ267" s="48">
        <f t="shared" si="74"/>
        <v>425.48</v>
      </c>
      <c r="CA267" s="43"/>
      <c r="CB267" s="43"/>
      <c r="CC267" s="43"/>
      <c r="CD267" s="43"/>
      <c r="CE267" s="43"/>
      <c r="CF267" s="43"/>
      <c r="CG267" s="53"/>
      <c r="CH267" s="52"/>
      <c r="CI267" s="43"/>
      <c r="CJ267" s="43"/>
      <c r="CK267" s="43"/>
      <c r="CL267" s="43"/>
      <c r="CM267" s="43"/>
      <c r="CN267" s="43"/>
      <c r="CO267" s="43"/>
      <c r="CP267" s="43"/>
      <c r="CQ267" s="43"/>
      <c r="CR267" s="43"/>
      <c r="CS267" s="43"/>
      <c r="CT267" s="43"/>
      <c r="CU267" s="43"/>
      <c r="CV267" s="43"/>
      <c r="CW267" s="43"/>
      <c r="CX267" s="43"/>
      <c r="CY267" s="43"/>
      <c r="CZ267" s="7"/>
      <c r="DA267" s="7"/>
      <c r="DB267" s="43"/>
      <c r="DC267" s="43"/>
      <c r="DD267" s="53"/>
      <c r="DE267" s="73">
        <f t="shared" si="78"/>
        <v>0</v>
      </c>
      <c r="DG267" s="52"/>
      <c r="DH267" s="43"/>
      <c r="DI267" s="50">
        <f t="shared" si="79"/>
        <v>6628.0433333333322</v>
      </c>
      <c r="DK267" s="52"/>
      <c r="DL267" s="43"/>
      <c r="DM267" s="50">
        <f t="shared" si="80"/>
        <v>4432.51</v>
      </c>
      <c r="DO267" s="52"/>
      <c r="DP267" s="43"/>
      <c r="DQ267" s="50">
        <f t="shared" si="81"/>
        <v>7995.9800000000032</v>
      </c>
      <c r="DT267" s="52"/>
      <c r="DU267" s="43"/>
      <c r="DV267" s="50">
        <f t="shared" si="82"/>
        <v>518.17000000000007</v>
      </c>
      <c r="DX267" s="52"/>
      <c r="DY267" s="43"/>
      <c r="DZ267" s="53">
        <f t="shared" si="83"/>
        <v>617.75</v>
      </c>
      <c r="EB267" s="52"/>
      <c r="EC267" s="43"/>
      <c r="ED267" s="53">
        <f t="shared" si="84"/>
        <v>500</v>
      </c>
      <c r="EF267" s="52"/>
      <c r="EG267" s="43"/>
      <c r="EH267" s="53">
        <f t="shared" si="85"/>
        <v>1048.04</v>
      </c>
      <c r="EJ267" s="65"/>
      <c r="EK267" s="7"/>
      <c r="EL267" s="53">
        <f t="shared" si="86"/>
        <v>25.299999999999997</v>
      </c>
      <c r="EN267" s="51">
        <f t="shared" si="87"/>
        <v>-3211.3733333333184</v>
      </c>
      <c r="EP267" s="60">
        <f t="shared" si="88"/>
        <v>0</v>
      </c>
      <c r="EQ267" s="61">
        <f t="shared" si="89"/>
        <v>0</v>
      </c>
      <c r="ER267" s="15">
        <f t="shared" si="90"/>
        <v>0</v>
      </c>
      <c r="ES267" s="62">
        <f t="shared" si="73"/>
        <v>-425.48</v>
      </c>
      <c r="EU267" s="6">
        <v>260</v>
      </c>
    </row>
    <row r="268" spans="1:151" x14ac:dyDescent="0.45">
      <c r="A268" s="9">
        <v>45701</v>
      </c>
      <c r="B268" t="s">
        <v>962</v>
      </c>
      <c r="C268" s="4" t="s">
        <v>633</v>
      </c>
      <c r="D268" s="7"/>
      <c r="E268">
        <v>3.21</v>
      </c>
      <c r="F268" s="43"/>
      <c r="G268" s="16">
        <f t="shared" si="77"/>
        <v>18557.630000000016</v>
      </c>
      <c r="H268" s="64" t="s">
        <v>625</v>
      </c>
      <c r="I268" s="52"/>
      <c r="J268" s="43"/>
      <c r="K268" s="43"/>
      <c r="L268" s="43"/>
      <c r="M268" s="43"/>
      <c r="N268" s="43"/>
      <c r="O268" s="43"/>
      <c r="P268" s="43"/>
      <c r="Q268" s="43"/>
      <c r="R268" s="43"/>
      <c r="S268" s="43"/>
      <c r="T268" s="43"/>
      <c r="U268" s="43"/>
      <c r="V268" s="43"/>
      <c r="W268" s="43"/>
      <c r="X268" s="43"/>
      <c r="Y268" s="43">
        <v>3.21</v>
      </c>
      <c r="Z268" s="43"/>
      <c r="AA268" s="43"/>
      <c r="AB268" s="43"/>
      <c r="AC268" s="43"/>
      <c r="AD268" s="43"/>
      <c r="AE268" s="43"/>
      <c r="AF268" s="43"/>
      <c r="AG268" s="43"/>
      <c r="AH268" s="43"/>
      <c r="AI268" s="43"/>
      <c r="AJ268" s="43"/>
      <c r="AK268" s="43"/>
      <c r="AL268" s="43"/>
      <c r="AM268" s="43"/>
      <c r="AN268" s="43"/>
      <c r="AO268" s="43"/>
      <c r="AP268" s="43"/>
      <c r="AQ268" s="43"/>
      <c r="AR268" s="53"/>
      <c r="AS268" s="52"/>
      <c r="AT268" s="43"/>
      <c r="AU268" s="43"/>
      <c r="AV268" s="43"/>
      <c r="AW268" s="43"/>
      <c r="AX268" s="43"/>
      <c r="AY268" s="43"/>
      <c r="AZ268" s="43"/>
      <c r="BA268" s="43"/>
      <c r="BB268" s="43"/>
      <c r="BC268" s="43"/>
      <c r="BD268" s="43"/>
      <c r="BE268" s="43"/>
      <c r="BF268" s="43"/>
      <c r="BG268" s="43"/>
      <c r="BH268" s="43"/>
      <c r="BI268" s="43"/>
      <c r="BJ268" s="43"/>
      <c r="BK268" s="43"/>
      <c r="BL268" s="43"/>
      <c r="BM268" s="43"/>
      <c r="BN268" s="43"/>
      <c r="BO268" s="43"/>
      <c r="BP268" s="43"/>
      <c r="BQ268" s="43"/>
      <c r="BR268" s="43"/>
      <c r="BS268" s="43"/>
      <c r="BT268" s="43"/>
      <c r="BU268" s="43"/>
      <c r="BV268" s="43"/>
      <c r="BW268" s="53"/>
      <c r="BX268" s="30">
        <f t="shared" si="75"/>
        <v>0</v>
      </c>
      <c r="BY268" s="52">
        <f t="shared" si="76"/>
        <v>0</v>
      </c>
      <c r="BZ268" s="48">
        <f t="shared" si="74"/>
        <v>3.21</v>
      </c>
      <c r="CA268" s="43"/>
      <c r="CB268" s="43"/>
      <c r="CC268" s="43"/>
      <c r="CD268" s="43"/>
      <c r="CE268" s="43"/>
      <c r="CF268" s="43"/>
      <c r="CG268" s="53"/>
      <c r="CH268" s="52"/>
      <c r="CI268" s="43"/>
      <c r="CJ268" s="43"/>
      <c r="CK268" s="43"/>
      <c r="CL268" s="43"/>
      <c r="CM268" s="43"/>
      <c r="CN268" s="43"/>
      <c r="CO268" s="43"/>
      <c r="CP268" s="43"/>
      <c r="CQ268" s="43"/>
      <c r="CR268" s="43"/>
      <c r="CS268" s="43"/>
      <c r="CT268" s="43"/>
      <c r="CU268" s="43"/>
      <c r="CV268" s="43"/>
      <c r="CW268" s="43"/>
      <c r="CX268" s="43"/>
      <c r="CY268" s="43"/>
      <c r="CZ268" s="7"/>
      <c r="DA268" s="7"/>
      <c r="DB268" s="43"/>
      <c r="DC268" s="43"/>
      <c r="DD268" s="53"/>
      <c r="DE268" s="73">
        <f t="shared" si="78"/>
        <v>0</v>
      </c>
      <c r="DG268" s="52"/>
      <c r="DH268" s="43"/>
      <c r="DI268" s="50">
        <f t="shared" si="79"/>
        <v>6628.0433333333322</v>
      </c>
      <c r="DK268" s="52"/>
      <c r="DL268" s="43"/>
      <c r="DM268" s="50">
        <f t="shared" si="80"/>
        <v>4432.51</v>
      </c>
      <c r="DO268" s="52"/>
      <c r="DP268" s="43"/>
      <c r="DQ268" s="50">
        <f t="shared" si="81"/>
        <v>7995.9800000000032</v>
      </c>
      <c r="DT268" s="52"/>
      <c r="DU268" s="43"/>
      <c r="DV268" s="50">
        <f t="shared" si="82"/>
        <v>518.17000000000007</v>
      </c>
      <c r="DX268" s="52"/>
      <c r="DY268" s="43"/>
      <c r="DZ268" s="53">
        <f t="shared" si="83"/>
        <v>617.75</v>
      </c>
      <c r="EB268" s="52"/>
      <c r="EC268" s="43"/>
      <c r="ED268" s="53">
        <f t="shared" si="84"/>
        <v>500</v>
      </c>
      <c r="EF268" s="52"/>
      <c r="EG268" s="43"/>
      <c r="EH268" s="53">
        <f t="shared" si="85"/>
        <v>1048.04</v>
      </c>
      <c r="EJ268" s="65"/>
      <c r="EK268" s="7"/>
      <c r="EL268" s="53">
        <f t="shared" si="86"/>
        <v>25.299999999999997</v>
      </c>
      <c r="EN268" s="51">
        <f t="shared" si="87"/>
        <v>-3208.1633333333193</v>
      </c>
      <c r="EP268" s="60">
        <f t="shared" si="88"/>
        <v>0</v>
      </c>
      <c r="EQ268" s="61">
        <f t="shared" si="89"/>
        <v>0</v>
      </c>
      <c r="ER268" s="15">
        <f t="shared" si="90"/>
        <v>0</v>
      </c>
      <c r="ES268" s="163">
        <f t="shared" si="73"/>
        <v>0</v>
      </c>
      <c r="EU268">
        <v>261</v>
      </c>
    </row>
    <row r="269" spans="1:151" x14ac:dyDescent="0.45">
      <c r="A269" s="9">
        <v>45701</v>
      </c>
      <c r="B269" t="s">
        <v>963</v>
      </c>
      <c r="C269" s="4" t="s">
        <v>633</v>
      </c>
      <c r="D269" s="7"/>
      <c r="E269">
        <v>196.61</v>
      </c>
      <c r="F269" s="43"/>
      <c r="G269" s="16">
        <f t="shared" si="77"/>
        <v>18754.240000000016</v>
      </c>
      <c r="H269" s="64" t="s">
        <v>625</v>
      </c>
      <c r="I269" s="52"/>
      <c r="J269" s="43"/>
      <c r="K269" s="43"/>
      <c r="L269" s="43"/>
      <c r="M269" s="43"/>
      <c r="N269" s="43"/>
      <c r="O269" s="43"/>
      <c r="P269" s="43"/>
      <c r="Q269" s="43"/>
      <c r="R269" s="43"/>
      <c r="S269" s="43"/>
      <c r="T269" s="43"/>
      <c r="U269" s="43"/>
      <c r="V269" s="43"/>
      <c r="W269" s="43"/>
      <c r="X269" s="43"/>
      <c r="Y269" s="43"/>
      <c r="Z269" s="43">
        <v>196.61</v>
      </c>
      <c r="AA269" s="43"/>
      <c r="AB269" s="43"/>
      <c r="AC269" s="43"/>
      <c r="AD269" s="43"/>
      <c r="AE269" s="43"/>
      <c r="AF269" s="43"/>
      <c r="AG269" s="43"/>
      <c r="AH269" s="43"/>
      <c r="AI269" s="43"/>
      <c r="AJ269" s="43"/>
      <c r="AK269" s="43"/>
      <c r="AL269" s="43"/>
      <c r="AM269" s="43"/>
      <c r="AN269" s="43"/>
      <c r="AO269" s="43"/>
      <c r="AP269" s="43"/>
      <c r="AQ269" s="43"/>
      <c r="AR269" s="53"/>
      <c r="AS269" s="52"/>
      <c r="AT269" s="43"/>
      <c r="AU269" s="43"/>
      <c r="AV269" s="43"/>
      <c r="AW269" s="43"/>
      <c r="AX269" s="43"/>
      <c r="AY269" s="43"/>
      <c r="AZ269" s="43"/>
      <c r="BA269" s="43"/>
      <c r="BB269" s="43"/>
      <c r="BC269" s="43"/>
      <c r="BD269" s="43"/>
      <c r="BE269" s="43"/>
      <c r="BF269" s="43"/>
      <c r="BG269" s="43"/>
      <c r="BH269" s="43"/>
      <c r="BI269" s="43"/>
      <c r="BJ269" s="43"/>
      <c r="BK269" s="43"/>
      <c r="BL269" s="43"/>
      <c r="BM269" s="43"/>
      <c r="BN269" s="43"/>
      <c r="BO269" s="43"/>
      <c r="BP269" s="43"/>
      <c r="BQ269" s="43"/>
      <c r="BR269" s="43"/>
      <c r="BS269" s="43"/>
      <c r="BT269" s="43"/>
      <c r="BU269" s="43"/>
      <c r="BV269" s="43"/>
      <c r="BW269" s="53"/>
      <c r="BX269" s="30">
        <f t="shared" si="75"/>
        <v>0</v>
      </c>
      <c r="BY269" s="52">
        <f t="shared" si="76"/>
        <v>0</v>
      </c>
      <c r="BZ269" s="48">
        <f t="shared" si="74"/>
        <v>196.61</v>
      </c>
      <c r="CA269" s="43"/>
      <c r="CB269" s="43"/>
      <c r="CC269" s="43"/>
      <c r="CD269" s="43"/>
      <c r="CE269" s="43"/>
      <c r="CF269" s="43"/>
      <c r="CG269" s="53"/>
      <c r="CH269" s="52"/>
      <c r="CI269" s="43"/>
      <c r="CJ269" s="43"/>
      <c r="CK269" s="43"/>
      <c r="CL269" s="43"/>
      <c r="CM269" s="43"/>
      <c r="CN269" s="43"/>
      <c r="CO269" s="43"/>
      <c r="CP269" s="43"/>
      <c r="CQ269" s="43"/>
      <c r="CR269" s="43"/>
      <c r="CS269" s="43"/>
      <c r="CT269" s="43"/>
      <c r="CU269" s="43"/>
      <c r="CV269" s="43"/>
      <c r="CW269" s="43"/>
      <c r="CX269" s="43"/>
      <c r="CY269" s="43"/>
      <c r="CZ269" s="7"/>
      <c r="DA269" s="7"/>
      <c r="DB269" s="43"/>
      <c r="DC269" s="43"/>
      <c r="DD269" s="53"/>
      <c r="DE269" s="73">
        <f t="shared" si="78"/>
        <v>0</v>
      </c>
      <c r="DG269" s="52"/>
      <c r="DH269" s="43"/>
      <c r="DI269" s="50">
        <f t="shared" si="79"/>
        <v>6628.0433333333322</v>
      </c>
      <c r="DK269" s="52"/>
      <c r="DL269" s="43"/>
      <c r="DM269" s="50">
        <f t="shared" si="80"/>
        <v>4432.51</v>
      </c>
      <c r="DO269" s="52"/>
      <c r="DP269" s="43"/>
      <c r="DQ269" s="50">
        <f t="shared" si="81"/>
        <v>7995.9800000000032</v>
      </c>
      <c r="DT269" s="52"/>
      <c r="DU269" s="43"/>
      <c r="DV269" s="50">
        <f t="shared" si="82"/>
        <v>518.17000000000007</v>
      </c>
      <c r="DX269" s="52"/>
      <c r="DY269" s="43"/>
      <c r="DZ269" s="53">
        <f t="shared" si="83"/>
        <v>617.75</v>
      </c>
      <c r="EB269" s="52"/>
      <c r="EC269" s="43"/>
      <c r="ED269" s="53">
        <f t="shared" si="84"/>
        <v>500</v>
      </c>
      <c r="EF269" s="52"/>
      <c r="EG269" s="43"/>
      <c r="EH269" s="53">
        <f t="shared" si="85"/>
        <v>1048.04</v>
      </c>
      <c r="EJ269" s="65"/>
      <c r="EK269" s="7"/>
      <c r="EL269" s="53">
        <f t="shared" si="86"/>
        <v>25.299999999999997</v>
      </c>
      <c r="EN269" s="51">
        <f t="shared" si="87"/>
        <v>-3011.5533333333187</v>
      </c>
      <c r="EP269" s="60">
        <f t="shared" si="88"/>
        <v>0</v>
      </c>
      <c r="EQ269" s="61">
        <f t="shared" si="89"/>
        <v>0</v>
      </c>
      <c r="ER269" s="15">
        <f t="shared" si="90"/>
        <v>0</v>
      </c>
      <c r="ES269" s="62">
        <f t="shared" si="73"/>
        <v>0</v>
      </c>
      <c r="EU269" s="6">
        <v>262</v>
      </c>
    </row>
    <row r="270" spans="1:151" x14ac:dyDescent="0.45">
      <c r="A270" s="9">
        <v>45701</v>
      </c>
      <c r="B270" t="s">
        <v>964</v>
      </c>
      <c r="C270" s="4" t="s">
        <v>633</v>
      </c>
      <c r="D270" s="7"/>
      <c r="E270">
        <v>232.08</v>
      </c>
      <c r="F270" s="43"/>
      <c r="G270" s="16">
        <f t="shared" si="77"/>
        <v>18986.320000000018</v>
      </c>
      <c r="H270" s="64" t="s">
        <v>625</v>
      </c>
      <c r="I270" s="52"/>
      <c r="J270" s="43"/>
      <c r="K270" s="43"/>
      <c r="L270" s="43"/>
      <c r="M270" s="43"/>
      <c r="N270" s="43"/>
      <c r="O270" s="43"/>
      <c r="P270" s="43"/>
      <c r="Q270" s="43"/>
      <c r="R270" s="43"/>
      <c r="S270" s="43"/>
      <c r="T270" s="43"/>
      <c r="U270" s="43"/>
      <c r="V270" s="43"/>
      <c r="W270" s="43"/>
      <c r="X270" s="43">
        <v>232.08</v>
      </c>
      <c r="Y270" s="43"/>
      <c r="Z270" s="43"/>
      <c r="AA270" s="43"/>
      <c r="AB270" s="43"/>
      <c r="AC270" s="43"/>
      <c r="AD270" s="43"/>
      <c r="AE270" s="43"/>
      <c r="AF270" s="43"/>
      <c r="AG270" s="43"/>
      <c r="AH270" s="43"/>
      <c r="AI270" s="43"/>
      <c r="AJ270" s="43"/>
      <c r="AK270" s="43"/>
      <c r="AL270" s="43"/>
      <c r="AM270" s="43"/>
      <c r="AN270" s="43"/>
      <c r="AO270" s="43"/>
      <c r="AP270" s="43"/>
      <c r="AQ270" s="43"/>
      <c r="AR270" s="53"/>
      <c r="AS270" s="52"/>
      <c r="AT270" s="43"/>
      <c r="AU270" s="43"/>
      <c r="AV270" s="43"/>
      <c r="AW270" s="43"/>
      <c r="AX270" s="43"/>
      <c r="AY270" s="43"/>
      <c r="AZ270" s="43"/>
      <c r="BA270" s="43"/>
      <c r="BB270" s="43"/>
      <c r="BC270" s="43"/>
      <c r="BD270" s="43"/>
      <c r="BE270" s="43"/>
      <c r="BF270" s="43"/>
      <c r="BG270" s="43"/>
      <c r="BH270" s="43"/>
      <c r="BI270" s="43"/>
      <c r="BJ270" s="43"/>
      <c r="BK270" s="43"/>
      <c r="BL270" s="43"/>
      <c r="BM270" s="43"/>
      <c r="BN270" s="43"/>
      <c r="BO270" s="43"/>
      <c r="BP270" s="43"/>
      <c r="BQ270" s="43"/>
      <c r="BR270" s="43"/>
      <c r="BS270" s="43"/>
      <c r="BT270" s="43"/>
      <c r="BU270" s="43"/>
      <c r="BV270" s="43"/>
      <c r="BW270" s="53"/>
      <c r="BX270" s="30">
        <f t="shared" si="75"/>
        <v>0</v>
      </c>
      <c r="BY270" s="52">
        <f t="shared" si="76"/>
        <v>0</v>
      </c>
      <c r="BZ270" s="48">
        <f t="shared" si="74"/>
        <v>232.08</v>
      </c>
      <c r="CA270" s="43"/>
      <c r="CB270" s="43"/>
      <c r="CC270" s="43"/>
      <c r="CD270" s="43"/>
      <c r="CE270" s="43"/>
      <c r="CF270" s="43"/>
      <c r="CG270" s="53"/>
      <c r="CH270" s="52"/>
      <c r="CI270" s="43"/>
      <c r="CJ270" s="43"/>
      <c r="CK270" s="43"/>
      <c r="CL270" s="43"/>
      <c r="CM270" s="43"/>
      <c r="CN270" s="43"/>
      <c r="CO270" s="43"/>
      <c r="CP270" s="43"/>
      <c r="CQ270" s="43"/>
      <c r="CR270" s="43"/>
      <c r="CS270" s="43"/>
      <c r="CT270" s="43"/>
      <c r="CU270" s="43"/>
      <c r="CV270" s="43"/>
      <c r="CW270" s="43"/>
      <c r="CX270" s="43"/>
      <c r="CY270" s="43"/>
      <c r="CZ270" s="7"/>
      <c r="DA270" s="7"/>
      <c r="DB270" s="43"/>
      <c r="DC270" s="43"/>
      <c r="DD270" s="53"/>
      <c r="DE270" s="73">
        <f t="shared" si="78"/>
        <v>0</v>
      </c>
      <c r="DG270" s="52"/>
      <c r="DH270" s="43"/>
      <c r="DI270" s="50">
        <f t="shared" si="79"/>
        <v>6628.0433333333322</v>
      </c>
      <c r="DK270" s="52"/>
      <c r="DL270" s="43"/>
      <c r="DM270" s="50">
        <f t="shared" si="80"/>
        <v>4432.51</v>
      </c>
      <c r="DO270" s="52"/>
      <c r="DP270" s="43"/>
      <c r="DQ270" s="50">
        <f t="shared" si="81"/>
        <v>7995.9800000000032</v>
      </c>
      <c r="DT270" s="52"/>
      <c r="DU270" s="43"/>
      <c r="DV270" s="50">
        <f t="shared" si="82"/>
        <v>518.17000000000007</v>
      </c>
      <c r="DX270" s="52"/>
      <c r="DY270" s="43"/>
      <c r="DZ270" s="53">
        <f t="shared" si="83"/>
        <v>617.75</v>
      </c>
      <c r="EB270" s="52"/>
      <c r="EC270" s="43"/>
      <c r="ED270" s="53">
        <f t="shared" si="84"/>
        <v>500</v>
      </c>
      <c r="EF270" s="52"/>
      <c r="EG270" s="43"/>
      <c r="EH270" s="53">
        <f t="shared" si="85"/>
        <v>1048.04</v>
      </c>
      <c r="EJ270" s="65"/>
      <c r="EK270" s="7"/>
      <c r="EL270" s="53">
        <f t="shared" si="86"/>
        <v>25.299999999999997</v>
      </c>
      <c r="EN270" s="51">
        <f t="shared" si="87"/>
        <v>-2779.473333333317</v>
      </c>
      <c r="EP270" s="60">
        <f t="shared" si="88"/>
        <v>0</v>
      </c>
      <c r="EQ270" s="61">
        <f t="shared" si="89"/>
        <v>0</v>
      </c>
      <c r="ER270" s="15">
        <f t="shared" si="90"/>
        <v>0</v>
      </c>
      <c r="ES270" s="163">
        <f t="shared" si="73"/>
        <v>0</v>
      </c>
      <c r="EU270">
        <v>263</v>
      </c>
    </row>
    <row r="271" spans="1:151" x14ac:dyDescent="0.45">
      <c r="A271" s="9">
        <v>45702</v>
      </c>
      <c r="B271" t="s">
        <v>965</v>
      </c>
      <c r="C271" s="4" t="s">
        <v>633</v>
      </c>
      <c r="D271" s="7"/>
      <c r="E271">
        <v>120.89</v>
      </c>
      <c r="F271" s="43"/>
      <c r="G271" s="16">
        <f t="shared" si="77"/>
        <v>19107.210000000017</v>
      </c>
      <c r="H271" s="64" t="s">
        <v>625</v>
      </c>
      <c r="I271" s="52"/>
      <c r="J271" s="43"/>
      <c r="K271" s="43"/>
      <c r="L271" s="43"/>
      <c r="M271" s="43"/>
      <c r="N271" s="43"/>
      <c r="O271" s="43"/>
      <c r="P271" s="43"/>
      <c r="Q271" s="43"/>
      <c r="R271" s="43"/>
      <c r="S271" s="43"/>
      <c r="T271" s="43"/>
      <c r="U271" s="43"/>
      <c r="V271" s="43"/>
      <c r="W271" s="43"/>
      <c r="X271" s="43"/>
      <c r="Y271" s="43"/>
      <c r="Z271" s="43"/>
      <c r="AA271" s="43"/>
      <c r="AB271" s="43">
        <v>120.89</v>
      </c>
      <c r="AC271" s="43"/>
      <c r="AD271" s="43"/>
      <c r="AE271" s="43"/>
      <c r="AF271" s="43"/>
      <c r="AG271" s="43"/>
      <c r="AH271" s="43"/>
      <c r="AI271" s="43"/>
      <c r="AJ271" s="43"/>
      <c r="AK271" s="43"/>
      <c r="AL271" s="43"/>
      <c r="AM271" s="43"/>
      <c r="AN271" s="43"/>
      <c r="AO271" s="43"/>
      <c r="AP271" s="43"/>
      <c r="AQ271" s="43"/>
      <c r="AR271" s="53"/>
      <c r="AS271" s="52"/>
      <c r="AT271" s="43"/>
      <c r="AU271" s="43"/>
      <c r="AV271" s="43"/>
      <c r="AW271" s="43"/>
      <c r="AX271" s="43"/>
      <c r="AY271" s="43"/>
      <c r="AZ271" s="43"/>
      <c r="BA271" s="43"/>
      <c r="BB271" s="43"/>
      <c r="BC271" s="43"/>
      <c r="BD271" s="43"/>
      <c r="BE271" s="43"/>
      <c r="BF271" s="43"/>
      <c r="BG271" s="43"/>
      <c r="BH271" s="43"/>
      <c r="BI271" s="43"/>
      <c r="BJ271" s="43"/>
      <c r="BK271" s="43"/>
      <c r="BL271" s="43"/>
      <c r="BM271" s="43"/>
      <c r="BN271" s="43"/>
      <c r="BO271" s="43"/>
      <c r="BP271" s="43"/>
      <c r="BQ271" s="43"/>
      <c r="BR271" s="43"/>
      <c r="BS271" s="43"/>
      <c r="BT271" s="43"/>
      <c r="BU271" s="43"/>
      <c r="BV271" s="43"/>
      <c r="BW271" s="53"/>
      <c r="BX271" s="30">
        <f t="shared" si="75"/>
        <v>0</v>
      </c>
      <c r="BY271" s="52">
        <f t="shared" si="76"/>
        <v>0</v>
      </c>
      <c r="BZ271" s="48">
        <f t="shared" si="74"/>
        <v>120.89</v>
      </c>
      <c r="CA271" s="43"/>
      <c r="CB271" s="43"/>
      <c r="CC271" s="43"/>
      <c r="CD271" s="43"/>
      <c r="CE271" s="43"/>
      <c r="CF271" s="43"/>
      <c r="CG271" s="53"/>
      <c r="CH271" s="52"/>
      <c r="CI271" s="43"/>
      <c r="CJ271" s="43"/>
      <c r="CK271" s="43"/>
      <c r="CL271" s="43"/>
      <c r="CM271" s="43"/>
      <c r="CN271" s="43"/>
      <c r="CO271" s="43"/>
      <c r="CP271" s="43"/>
      <c r="CQ271" s="43"/>
      <c r="CR271" s="43"/>
      <c r="CS271" s="43"/>
      <c r="CT271" s="43"/>
      <c r="CU271" s="43"/>
      <c r="CV271" s="43"/>
      <c r="CW271" s="43"/>
      <c r="CX271" s="43"/>
      <c r="CY271" s="43"/>
      <c r="CZ271" s="7"/>
      <c r="DA271" s="7"/>
      <c r="DB271" s="43"/>
      <c r="DC271" s="43"/>
      <c r="DD271" s="53"/>
      <c r="DE271" s="73">
        <f t="shared" si="78"/>
        <v>0</v>
      </c>
      <c r="DG271" s="52"/>
      <c r="DH271" s="43"/>
      <c r="DI271" s="50">
        <f t="shared" si="79"/>
        <v>6628.0433333333322</v>
      </c>
      <c r="DK271" s="52"/>
      <c r="DL271" s="43"/>
      <c r="DM271" s="50">
        <f t="shared" si="80"/>
        <v>4432.51</v>
      </c>
      <c r="DO271" s="52"/>
      <c r="DP271" s="43"/>
      <c r="DQ271" s="50">
        <f t="shared" si="81"/>
        <v>7995.9800000000032</v>
      </c>
      <c r="DT271" s="52"/>
      <c r="DU271" s="43"/>
      <c r="DV271" s="50">
        <f t="shared" si="82"/>
        <v>518.17000000000007</v>
      </c>
      <c r="DX271" s="52"/>
      <c r="DY271" s="43"/>
      <c r="DZ271" s="53">
        <f t="shared" si="83"/>
        <v>617.75</v>
      </c>
      <c r="EB271" s="52"/>
      <c r="EC271" s="43"/>
      <c r="ED271" s="53">
        <f t="shared" si="84"/>
        <v>500</v>
      </c>
      <c r="EF271" s="52"/>
      <c r="EG271" s="43"/>
      <c r="EH271" s="53">
        <f t="shared" si="85"/>
        <v>1048.04</v>
      </c>
      <c r="EJ271" s="65"/>
      <c r="EK271" s="7"/>
      <c r="EL271" s="53">
        <f t="shared" si="86"/>
        <v>25.299999999999997</v>
      </c>
      <c r="EN271" s="51">
        <f t="shared" si="87"/>
        <v>-2658.5833333333176</v>
      </c>
      <c r="EP271" s="60">
        <f t="shared" si="88"/>
        <v>0</v>
      </c>
      <c r="EQ271" s="61">
        <f t="shared" si="89"/>
        <v>0</v>
      </c>
      <c r="ER271" s="15">
        <f t="shared" si="90"/>
        <v>0</v>
      </c>
      <c r="ES271" s="62">
        <f t="shared" si="73"/>
        <v>-120.89</v>
      </c>
      <c r="EU271" s="6">
        <v>264</v>
      </c>
    </row>
    <row r="272" spans="1:151" x14ac:dyDescent="0.45">
      <c r="A272" s="9">
        <v>45702</v>
      </c>
      <c r="B272" t="s">
        <v>966</v>
      </c>
      <c r="C272" s="4" t="s">
        <v>633</v>
      </c>
      <c r="D272" s="7"/>
      <c r="E272">
        <v>232.08</v>
      </c>
      <c r="F272" s="43"/>
      <c r="G272" s="16">
        <f t="shared" si="77"/>
        <v>19339.290000000019</v>
      </c>
      <c r="H272" s="64" t="s">
        <v>625</v>
      </c>
      <c r="I272" s="52"/>
      <c r="J272" s="43"/>
      <c r="K272" s="43"/>
      <c r="L272" s="43"/>
      <c r="M272" s="43"/>
      <c r="N272" s="43"/>
      <c r="O272" s="43"/>
      <c r="P272" s="43"/>
      <c r="Q272" s="43"/>
      <c r="R272" s="43"/>
      <c r="S272" s="43"/>
      <c r="T272" s="43"/>
      <c r="U272" s="43"/>
      <c r="V272" s="43"/>
      <c r="W272" s="43"/>
      <c r="X272" s="43"/>
      <c r="Y272" s="43"/>
      <c r="Z272" s="43">
        <v>232.08</v>
      </c>
      <c r="AA272" s="43"/>
      <c r="AB272" s="43"/>
      <c r="AC272" s="43"/>
      <c r="AD272" s="43"/>
      <c r="AE272" s="43"/>
      <c r="AF272" s="43"/>
      <c r="AG272" s="43"/>
      <c r="AH272" s="43"/>
      <c r="AI272" s="43"/>
      <c r="AJ272" s="43"/>
      <c r="AK272" s="43"/>
      <c r="AL272" s="43"/>
      <c r="AM272" s="43"/>
      <c r="AN272" s="43"/>
      <c r="AO272" s="43"/>
      <c r="AP272" s="43"/>
      <c r="AQ272" s="43"/>
      <c r="AR272" s="53"/>
      <c r="AS272" s="52"/>
      <c r="AT272" s="43"/>
      <c r="AU272" s="43"/>
      <c r="AV272" s="43"/>
      <c r="AW272" s="43"/>
      <c r="AX272" s="43"/>
      <c r="AY272" s="43"/>
      <c r="AZ272" s="43"/>
      <c r="BA272" s="43"/>
      <c r="BB272" s="43"/>
      <c r="BC272" s="43"/>
      <c r="BD272" s="43"/>
      <c r="BE272" s="43"/>
      <c r="BF272" s="43"/>
      <c r="BG272" s="43"/>
      <c r="BH272" s="43"/>
      <c r="BI272" s="43"/>
      <c r="BJ272" s="43"/>
      <c r="BK272" s="43"/>
      <c r="BL272" s="43"/>
      <c r="BM272" s="43"/>
      <c r="BN272" s="43"/>
      <c r="BO272" s="43"/>
      <c r="BP272" s="43"/>
      <c r="BQ272" s="43"/>
      <c r="BR272" s="43"/>
      <c r="BS272" s="43"/>
      <c r="BT272" s="43"/>
      <c r="BU272" s="43"/>
      <c r="BV272" s="43"/>
      <c r="BW272" s="53"/>
      <c r="BX272" s="30">
        <f t="shared" si="75"/>
        <v>0</v>
      </c>
      <c r="BY272" s="52">
        <f t="shared" si="76"/>
        <v>0</v>
      </c>
      <c r="BZ272" s="48">
        <f t="shared" si="74"/>
        <v>232.08</v>
      </c>
      <c r="CA272" s="43"/>
      <c r="CB272" s="43"/>
      <c r="CC272" s="43"/>
      <c r="CD272" s="43"/>
      <c r="CE272" s="43"/>
      <c r="CF272" s="43"/>
      <c r="CG272" s="53"/>
      <c r="CH272" s="52"/>
      <c r="CI272" s="43"/>
      <c r="CJ272" s="43"/>
      <c r="CK272" s="43"/>
      <c r="CL272" s="43"/>
      <c r="CM272" s="43"/>
      <c r="CN272" s="43"/>
      <c r="CO272" s="43"/>
      <c r="CP272" s="43"/>
      <c r="CQ272" s="43"/>
      <c r="CR272" s="43"/>
      <c r="CS272" s="43"/>
      <c r="CT272" s="43"/>
      <c r="CU272" s="43"/>
      <c r="CV272" s="43"/>
      <c r="CW272" s="43"/>
      <c r="CX272" s="43"/>
      <c r="CY272" s="43"/>
      <c r="CZ272" s="7"/>
      <c r="DA272" s="7"/>
      <c r="DB272" s="43"/>
      <c r="DC272" s="43"/>
      <c r="DD272" s="53"/>
      <c r="DE272" s="73">
        <f t="shared" si="78"/>
        <v>0</v>
      </c>
      <c r="DG272" s="52"/>
      <c r="DH272" s="43"/>
      <c r="DI272" s="50">
        <f t="shared" si="79"/>
        <v>6628.0433333333322</v>
      </c>
      <c r="DK272" s="52"/>
      <c r="DL272" s="43"/>
      <c r="DM272" s="50">
        <f t="shared" si="80"/>
        <v>4432.51</v>
      </c>
      <c r="DO272" s="52"/>
      <c r="DP272" s="43"/>
      <c r="DQ272" s="50">
        <f t="shared" si="81"/>
        <v>7995.9800000000032</v>
      </c>
      <c r="DT272" s="52"/>
      <c r="DU272" s="43"/>
      <c r="DV272" s="50">
        <f t="shared" si="82"/>
        <v>518.17000000000007</v>
      </c>
      <c r="DX272" s="52"/>
      <c r="DY272" s="43"/>
      <c r="DZ272" s="53">
        <f t="shared" si="83"/>
        <v>617.75</v>
      </c>
      <c r="EB272" s="52"/>
      <c r="EC272" s="43"/>
      <c r="ED272" s="53">
        <f t="shared" si="84"/>
        <v>500</v>
      </c>
      <c r="EF272" s="52"/>
      <c r="EG272" s="43"/>
      <c r="EH272" s="53">
        <f t="shared" si="85"/>
        <v>1048.04</v>
      </c>
      <c r="EJ272" s="65"/>
      <c r="EK272" s="7"/>
      <c r="EL272" s="53">
        <f t="shared" si="86"/>
        <v>25.299999999999997</v>
      </c>
      <c r="EN272" s="51">
        <f t="shared" si="87"/>
        <v>-2426.5033333333158</v>
      </c>
      <c r="EP272" s="60">
        <f t="shared" si="88"/>
        <v>0</v>
      </c>
      <c r="EQ272" s="61">
        <f t="shared" si="89"/>
        <v>0</v>
      </c>
      <c r="ER272" s="15">
        <f t="shared" si="90"/>
        <v>0</v>
      </c>
      <c r="ES272" s="163">
        <f t="shared" si="73"/>
        <v>0</v>
      </c>
      <c r="EU272">
        <v>265</v>
      </c>
    </row>
    <row r="273" spans="1:151" x14ac:dyDescent="0.45">
      <c r="A273" s="9">
        <v>45702</v>
      </c>
      <c r="B273" t="s">
        <v>967</v>
      </c>
      <c r="C273" s="4" t="s">
        <v>633</v>
      </c>
      <c r="D273" s="7"/>
      <c r="E273">
        <v>38.68</v>
      </c>
      <c r="F273" s="43"/>
      <c r="G273" s="16">
        <f t="shared" si="77"/>
        <v>19377.970000000019</v>
      </c>
      <c r="H273" s="64" t="s">
        <v>625</v>
      </c>
      <c r="I273" s="52"/>
      <c r="J273" s="43"/>
      <c r="K273" s="43"/>
      <c r="L273" s="43"/>
      <c r="M273" s="43"/>
      <c r="N273" s="43"/>
      <c r="O273" s="43"/>
      <c r="P273" s="43"/>
      <c r="Q273" s="43"/>
      <c r="R273" s="43"/>
      <c r="S273" s="43"/>
      <c r="T273" s="43"/>
      <c r="U273" s="43"/>
      <c r="V273" s="43"/>
      <c r="W273" s="43"/>
      <c r="X273" s="43">
        <v>38.68</v>
      </c>
      <c r="Y273" s="43"/>
      <c r="Z273" s="43"/>
      <c r="AA273" s="43"/>
      <c r="AB273" s="43"/>
      <c r="AC273" s="43"/>
      <c r="AD273" s="43"/>
      <c r="AE273" s="43"/>
      <c r="AF273" s="43"/>
      <c r="AG273" s="43"/>
      <c r="AH273" s="43"/>
      <c r="AI273" s="43"/>
      <c r="AJ273" s="43"/>
      <c r="AK273" s="43"/>
      <c r="AL273" s="43"/>
      <c r="AM273" s="43"/>
      <c r="AN273" s="43"/>
      <c r="AO273" s="43"/>
      <c r="AP273" s="43"/>
      <c r="AQ273" s="43"/>
      <c r="AR273" s="53"/>
      <c r="AS273" s="52"/>
      <c r="AT273" s="43"/>
      <c r="AU273" s="43"/>
      <c r="AV273" s="43"/>
      <c r="AW273" s="43"/>
      <c r="AX273" s="43"/>
      <c r="AY273" s="43"/>
      <c r="AZ273" s="43"/>
      <c r="BA273" s="43"/>
      <c r="BB273" s="43"/>
      <c r="BC273" s="43"/>
      <c r="BD273" s="43"/>
      <c r="BE273" s="43"/>
      <c r="BF273" s="43"/>
      <c r="BG273" s="43"/>
      <c r="BH273" s="43"/>
      <c r="BI273" s="43"/>
      <c r="BJ273" s="43"/>
      <c r="BK273" s="43"/>
      <c r="BL273" s="43"/>
      <c r="BM273" s="43"/>
      <c r="BN273" s="43"/>
      <c r="BO273" s="43"/>
      <c r="BP273" s="43"/>
      <c r="BQ273" s="43"/>
      <c r="BR273" s="43"/>
      <c r="BS273" s="43"/>
      <c r="BT273" s="43"/>
      <c r="BU273" s="43"/>
      <c r="BV273" s="43"/>
      <c r="BW273" s="53"/>
      <c r="BX273" s="30">
        <f t="shared" si="75"/>
        <v>0</v>
      </c>
      <c r="BY273" s="52">
        <f t="shared" si="76"/>
        <v>0</v>
      </c>
      <c r="BZ273" s="48">
        <f t="shared" si="74"/>
        <v>38.68</v>
      </c>
      <c r="CA273" s="43"/>
      <c r="CB273" s="43"/>
      <c r="CC273" s="43"/>
      <c r="CD273" s="43"/>
      <c r="CE273" s="43"/>
      <c r="CF273" s="43"/>
      <c r="CG273" s="53"/>
      <c r="CH273" s="52"/>
      <c r="CI273" s="43"/>
      <c r="CJ273" s="43"/>
      <c r="CK273" s="43"/>
      <c r="CL273" s="43"/>
      <c r="CM273" s="43"/>
      <c r="CN273" s="43"/>
      <c r="CO273" s="43"/>
      <c r="CP273" s="43"/>
      <c r="CQ273" s="43"/>
      <c r="CR273" s="43"/>
      <c r="CS273" s="43"/>
      <c r="CT273" s="43"/>
      <c r="CU273" s="43"/>
      <c r="CV273" s="43"/>
      <c r="CW273" s="43"/>
      <c r="CX273" s="43"/>
      <c r="CY273" s="43"/>
      <c r="CZ273" s="7"/>
      <c r="DA273" s="7"/>
      <c r="DB273" s="43"/>
      <c r="DC273" s="43"/>
      <c r="DD273" s="53"/>
      <c r="DE273" s="73">
        <f t="shared" si="78"/>
        <v>0</v>
      </c>
      <c r="DG273" s="52"/>
      <c r="DH273" s="43"/>
      <c r="DI273" s="50">
        <f t="shared" si="79"/>
        <v>6628.0433333333322</v>
      </c>
      <c r="DK273" s="52"/>
      <c r="DL273" s="43"/>
      <c r="DM273" s="50">
        <f t="shared" si="80"/>
        <v>4432.51</v>
      </c>
      <c r="DO273" s="52"/>
      <c r="DP273" s="43"/>
      <c r="DQ273" s="50">
        <f t="shared" si="81"/>
        <v>7995.9800000000032</v>
      </c>
      <c r="DT273" s="52"/>
      <c r="DU273" s="43"/>
      <c r="DV273" s="50">
        <f t="shared" si="82"/>
        <v>518.17000000000007</v>
      </c>
      <c r="DX273" s="52"/>
      <c r="DY273" s="43"/>
      <c r="DZ273" s="53">
        <f t="shared" si="83"/>
        <v>617.75</v>
      </c>
      <c r="EB273" s="52"/>
      <c r="EC273" s="43"/>
      <c r="ED273" s="53">
        <f t="shared" si="84"/>
        <v>500</v>
      </c>
      <c r="EF273" s="52"/>
      <c r="EG273" s="43"/>
      <c r="EH273" s="53">
        <f t="shared" si="85"/>
        <v>1048.04</v>
      </c>
      <c r="EJ273" s="65"/>
      <c r="EK273" s="7"/>
      <c r="EL273" s="53">
        <f t="shared" si="86"/>
        <v>25.299999999999997</v>
      </c>
      <c r="EN273" s="51">
        <f t="shared" si="87"/>
        <v>-2387.8233333333155</v>
      </c>
      <c r="EP273" s="60">
        <f t="shared" si="88"/>
        <v>0</v>
      </c>
      <c r="EQ273" s="61">
        <f t="shared" si="89"/>
        <v>0</v>
      </c>
      <c r="ER273" s="15">
        <f t="shared" si="90"/>
        <v>0</v>
      </c>
      <c r="ES273" s="62">
        <f t="shared" si="73"/>
        <v>0</v>
      </c>
      <c r="EU273" s="6">
        <v>266</v>
      </c>
    </row>
    <row r="274" spans="1:151" x14ac:dyDescent="0.45">
      <c r="A274" s="9">
        <v>45705</v>
      </c>
      <c r="B274" t="s">
        <v>968</v>
      </c>
      <c r="C274" s="4" t="s">
        <v>633</v>
      </c>
      <c r="D274" s="7"/>
      <c r="E274">
        <v>38.68</v>
      </c>
      <c r="F274" s="43"/>
      <c r="G274" s="16">
        <f t="shared" si="77"/>
        <v>19416.65000000002</v>
      </c>
      <c r="H274" s="64" t="s">
        <v>625</v>
      </c>
      <c r="I274" s="52"/>
      <c r="J274" s="43"/>
      <c r="K274" s="43"/>
      <c r="L274" s="43"/>
      <c r="M274" s="43"/>
      <c r="N274" s="43"/>
      <c r="O274" s="43"/>
      <c r="P274" s="43"/>
      <c r="Q274" s="43"/>
      <c r="R274" s="43"/>
      <c r="S274" s="43"/>
      <c r="T274" s="43"/>
      <c r="U274" s="43"/>
      <c r="V274" s="43"/>
      <c r="W274" s="43"/>
      <c r="X274" s="43"/>
      <c r="Y274" s="43"/>
      <c r="Z274" s="43">
        <v>38.68</v>
      </c>
      <c r="AA274" s="43"/>
      <c r="AB274" s="43"/>
      <c r="AC274" s="43"/>
      <c r="AD274" s="43"/>
      <c r="AE274" s="43"/>
      <c r="AF274" s="43"/>
      <c r="AG274" s="43"/>
      <c r="AH274" s="43"/>
      <c r="AI274" s="43"/>
      <c r="AJ274" s="43"/>
      <c r="AK274" s="43"/>
      <c r="AL274" s="43"/>
      <c r="AM274" s="43"/>
      <c r="AN274" s="43"/>
      <c r="AO274" s="43"/>
      <c r="AP274" s="43"/>
      <c r="AQ274" s="43"/>
      <c r="AR274" s="53"/>
      <c r="AS274" s="52"/>
      <c r="AT274" s="43"/>
      <c r="AU274" s="43"/>
      <c r="AV274" s="43"/>
      <c r="AW274" s="43"/>
      <c r="AX274" s="43"/>
      <c r="AY274" s="43"/>
      <c r="AZ274" s="43"/>
      <c r="BA274" s="43"/>
      <c r="BB274" s="43"/>
      <c r="BC274" s="43"/>
      <c r="BD274" s="43"/>
      <c r="BE274" s="43"/>
      <c r="BF274" s="43"/>
      <c r="BG274" s="43"/>
      <c r="BH274" s="43"/>
      <c r="BI274" s="43"/>
      <c r="BJ274" s="43"/>
      <c r="BK274" s="43"/>
      <c r="BL274" s="43"/>
      <c r="BM274" s="43"/>
      <c r="BN274" s="43"/>
      <c r="BO274" s="43"/>
      <c r="BP274" s="43"/>
      <c r="BQ274" s="43"/>
      <c r="BR274" s="43"/>
      <c r="BS274" s="43"/>
      <c r="BT274" s="43"/>
      <c r="BU274" s="43"/>
      <c r="BV274" s="43"/>
      <c r="BW274" s="53"/>
      <c r="BX274" s="30">
        <f t="shared" si="75"/>
        <v>0</v>
      </c>
      <c r="BY274" s="52">
        <f t="shared" si="76"/>
        <v>0</v>
      </c>
      <c r="BZ274" s="48">
        <f t="shared" si="74"/>
        <v>38.68</v>
      </c>
      <c r="CA274" s="43"/>
      <c r="CB274" s="43"/>
      <c r="CC274" s="43"/>
      <c r="CD274" s="43"/>
      <c r="CE274" s="43"/>
      <c r="CF274" s="43"/>
      <c r="CG274" s="53"/>
      <c r="CH274" s="52"/>
      <c r="CI274" s="43"/>
      <c r="CJ274" s="43"/>
      <c r="CK274" s="43"/>
      <c r="CL274" s="43"/>
      <c r="CM274" s="43"/>
      <c r="CN274" s="43"/>
      <c r="CO274" s="43"/>
      <c r="CP274" s="43"/>
      <c r="CQ274" s="43"/>
      <c r="CR274" s="43"/>
      <c r="CS274" s="43"/>
      <c r="CT274" s="43"/>
      <c r="CU274" s="43"/>
      <c r="CV274" s="43"/>
      <c r="CW274" s="43"/>
      <c r="CX274" s="43"/>
      <c r="CY274" s="43"/>
      <c r="CZ274" s="7"/>
      <c r="DA274" s="7"/>
      <c r="DB274" s="43"/>
      <c r="DC274" s="43"/>
      <c r="DD274" s="53"/>
      <c r="DE274" s="73">
        <f t="shared" si="78"/>
        <v>0</v>
      </c>
      <c r="DG274" s="52"/>
      <c r="DH274" s="43"/>
      <c r="DI274" s="50">
        <f t="shared" si="79"/>
        <v>6628.0433333333322</v>
      </c>
      <c r="DK274" s="52"/>
      <c r="DL274" s="43"/>
      <c r="DM274" s="50">
        <f t="shared" si="80"/>
        <v>4432.51</v>
      </c>
      <c r="DO274" s="52"/>
      <c r="DP274" s="43"/>
      <c r="DQ274" s="50">
        <f t="shared" si="81"/>
        <v>7995.9800000000032</v>
      </c>
      <c r="DT274" s="52"/>
      <c r="DU274" s="43"/>
      <c r="DV274" s="50">
        <f t="shared" si="82"/>
        <v>518.17000000000007</v>
      </c>
      <c r="DX274" s="52"/>
      <c r="DY274" s="43"/>
      <c r="DZ274" s="53">
        <f t="shared" si="83"/>
        <v>617.75</v>
      </c>
      <c r="EB274" s="52"/>
      <c r="EC274" s="43"/>
      <c r="ED274" s="53">
        <f t="shared" si="84"/>
        <v>500</v>
      </c>
      <c r="EF274" s="52"/>
      <c r="EG274" s="43"/>
      <c r="EH274" s="53">
        <f t="shared" si="85"/>
        <v>1048.04</v>
      </c>
      <c r="EJ274" s="65"/>
      <c r="EK274" s="7"/>
      <c r="EL274" s="53">
        <f t="shared" si="86"/>
        <v>25.299999999999997</v>
      </c>
      <c r="EN274" s="51">
        <f t="shared" si="87"/>
        <v>-2349.1433333333152</v>
      </c>
      <c r="EP274" s="60">
        <f t="shared" si="88"/>
        <v>0</v>
      </c>
      <c r="EQ274" s="61">
        <f t="shared" si="89"/>
        <v>0</v>
      </c>
      <c r="ER274" s="15">
        <f t="shared" si="90"/>
        <v>0</v>
      </c>
      <c r="ES274" s="163">
        <f t="shared" si="73"/>
        <v>0</v>
      </c>
      <c r="EU274">
        <v>267</v>
      </c>
    </row>
    <row r="275" spans="1:151" x14ac:dyDescent="0.45">
      <c r="A275" s="9">
        <v>45705</v>
      </c>
      <c r="B275" t="s">
        <v>969</v>
      </c>
      <c r="C275" s="4" t="s">
        <v>633</v>
      </c>
      <c r="D275" s="7"/>
      <c r="E275">
        <v>38.68</v>
      </c>
      <c r="F275" s="43"/>
      <c r="G275" s="16">
        <f t="shared" si="77"/>
        <v>19455.33000000002</v>
      </c>
      <c r="H275" s="64" t="s">
        <v>625</v>
      </c>
      <c r="I275" s="52"/>
      <c r="J275" s="43"/>
      <c r="K275" s="43"/>
      <c r="L275" s="43"/>
      <c r="M275" s="43"/>
      <c r="N275" s="43"/>
      <c r="O275" s="43"/>
      <c r="P275" s="43"/>
      <c r="Q275" s="43"/>
      <c r="R275" s="43"/>
      <c r="S275" s="43"/>
      <c r="T275" s="43"/>
      <c r="U275" s="43"/>
      <c r="V275" s="43"/>
      <c r="W275" s="43"/>
      <c r="X275" s="43"/>
      <c r="Y275" s="43"/>
      <c r="Z275" s="43">
        <v>38.68</v>
      </c>
      <c r="AA275" s="43"/>
      <c r="AB275" s="43"/>
      <c r="AC275" s="43"/>
      <c r="AD275" s="43"/>
      <c r="AE275" s="43"/>
      <c r="AF275" s="43"/>
      <c r="AG275" s="43"/>
      <c r="AH275" s="43"/>
      <c r="AI275" s="43"/>
      <c r="AJ275" s="43"/>
      <c r="AK275" s="43"/>
      <c r="AL275" s="43"/>
      <c r="AM275" s="43"/>
      <c r="AN275" s="43"/>
      <c r="AO275" s="43"/>
      <c r="AP275" s="43"/>
      <c r="AQ275" s="43"/>
      <c r="AR275" s="53"/>
      <c r="AS275" s="52"/>
      <c r="AT275" s="43"/>
      <c r="AU275" s="43"/>
      <c r="AV275" s="43"/>
      <c r="AW275" s="43"/>
      <c r="AX275" s="43"/>
      <c r="AY275" s="43"/>
      <c r="AZ275" s="43"/>
      <c r="BA275" s="43"/>
      <c r="BB275" s="43"/>
      <c r="BC275" s="43"/>
      <c r="BD275" s="43"/>
      <c r="BE275" s="43"/>
      <c r="BF275" s="43"/>
      <c r="BG275" s="43"/>
      <c r="BH275" s="43"/>
      <c r="BI275" s="43"/>
      <c r="BJ275" s="43"/>
      <c r="BK275" s="43"/>
      <c r="BL275" s="43"/>
      <c r="BM275" s="43"/>
      <c r="BN275" s="43"/>
      <c r="BO275" s="43"/>
      <c r="BP275" s="43"/>
      <c r="BQ275" s="43"/>
      <c r="BR275" s="43"/>
      <c r="BS275" s="43"/>
      <c r="BT275" s="43"/>
      <c r="BU275" s="43"/>
      <c r="BV275" s="43"/>
      <c r="BW275" s="53"/>
      <c r="BX275" s="30">
        <f t="shared" si="75"/>
        <v>0</v>
      </c>
      <c r="BY275" s="52">
        <f t="shared" si="76"/>
        <v>0</v>
      </c>
      <c r="BZ275" s="48">
        <f t="shared" si="74"/>
        <v>38.68</v>
      </c>
      <c r="CA275" s="43"/>
      <c r="CB275" s="43"/>
      <c r="CC275" s="43"/>
      <c r="CD275" s="43"/>
      <c r="CE275" s="43"/>
      <c r="CF275" s="43"/>
      <c r="CG275" s="53"/>
      <c r="CH275" s="52"/>
      <c r="CI275" s="43"/>
      <c r="CJ275" s="43"/>
      <c r="CK275" s="43"/>
      <c r="CL275" s="43"/>
      <c r="CM275" s="43"/>
      <c r="CN275" s="43"/>
      <c r="CO275" s="43"/>
      <c r="CP275" s="43"/>
      <c r="CQ275" s="43"/>
      <c r="CR275" s="43"/>
      <c r="CS275" s="43"/>
      <c r="CT275" s="43"/>
      <c r="CU275" s="43"/>
      <c r="CV275" s="43"/>
      <c r="CW275" s="43"/>
      <c r="CX275" s="43"/>
      <c r="CY275" s="43"/>
      <c r="CZ275" s="7"/>
      <c r="DA275" s="7"/>
      <c r="DB275" s="43"/>
      <c r="DC275" s="43"/>
      <c r="DD275" s="53"/>
      <c r="DE275" s="73">
        <f t="shared" si="78"/>
        <v>0</v>
      </c>
      <c r="DG275" s="52"/>
      <c r="DH275" s="43"/>
      <c r="DI275" s="50">
        <f t="shared" si="79"/>
        <v>6628.0433333333322</v>
      </c>
      <c r="DK275" s="52"/>
      <c r="DL275" s="43"/>
      <c r="DM275" s="50">
        <f t="shared" si="80"/>
        <v>4432.51</v>
      </c>
      <c r="DO275" s="52"/>
      <c r="DP275" s="43"/>
      <c r="DQ275" s="50">
        <f t="shared" si="81"/>
        <v>7995.9800000000032</v>
      </c>
      <c r="DT275" s="52"/>
      <c r="DU275" s="43"/>
      <c r="DV275" s="50">
        <f t="shared" si="82"/>
        <v>518.17000000000007</v>
      </c>
      <c r="DX275" s="52"/>
      <c r="DY275" s="43"/>
      <c r="DZ275" s="53">
        <f t="shared" si="83"/>
        <v>617.75</v>
      </c>
      <c r="EB275" s="52"/>
      <c r="EC275" s="43"/>
      <c r="ED275" s="53">
        <f t="shared" si="84"/>
        <v>500</v>
      </c>
      <c r="EF275" s="52"/>
      <c r="EG275" s="43"/>
      <c r="EH275" s="53">
        <f t="shared" si="85"/>
        <v>1048.04</v>
      </c>
      <c r="EJ275" s="65"/>
      <c r="EK275" s="7"/>
      <c r="EL275" s="53">
        <f t="shared" si="86"/>
        <v>25.299999999999997</v>
      </c>
      <c r="EN275" s="51">
        <f t="shared" si="87"/>
        <v>-2310.4633333333149</v>
      </c>
      <c r="EP275" s="60">
        <f t="shared" si="88"/>
        <v>0</v>
      </c>
      <c r="EQ275" s="61">
        <f t="shared" si="89"/>
        <v>0</v>
      </c>
      <c r="ER275" s="15">
        <f t="shared" si="90"/>
        <v>0</v>
      </c>
      <c r="ES275" s="62">
        <f t="shared" si="73"/>
        <v>0</v>
      </c>
      <c r="EU275" s="6">
        <v>268</v>
      </c>
    </row>
    <row r="276" spans="1:151" x14ac:dyDescent="0.45">
      <c r="A276" s="9">
        <v>45706</v>
      </c>
      <c r="B276" t="s">
        <v>970</v>
      </c>
      <c r="C276" s="4" t="s">
        <v>633</v>
      </c>
      <c r="D276" s="7"/>
      <c r="E276">
        <v>77.36</v>
      </c>
      <c r="F276" s="43"/>
      <c r="G276" s="16">
        <f t="shared" si="77"/>
        <v>19532.690000000021</v>
      </c>
      <c r="H276" s="64" t="s">
        <v>625</v>
      </c>
      <c r="I276" s="52"/>
      <c r="J276" s="43"/>
      <c r="K276" s="43"/>
      <c r="L276" s="43"/>
      <c r="M276" s="43"/>
      <c r="N276" s="43"/>
      <c r="O276" s="43"/>
      <c r="P276" s="43"/>
      <c r="Q276" s="43"/>
      <c r="R276" s="43"/>
      <c r="S276" s="43"/>
      <c r="T276" s="43"/>
      <c r="U276" s="43"/>
      <c r="V276" s="43"/>
      <c r="W276" s="43"/>
      <c r="X276" s="43">
        <v>77.36</v>
      </c>
      <c r="Y276" s="43"/>
      <c r="Z276" s="43"/>
      <c r="AA276" s="43"/>
      <c r="AB276" s="43"/>
      <c r="AC276" s="43"/>
      <c r="AD276" s="43"/>
      <c r="AE276" s="43"/>
      <c r="AF276" s="43"/>
      <c r="AG276" s="43"/>
      <c r="AH276" s="43"/>
      <c r="AI276" s="43"/>
      <c r="AJ276" s="43"/>
      <c r="AK276" s="43"/>
      <c r="AL276" s="43"/>
      <c r="AM276" s="43"/>
      <c r="AN276" s="43"/>
      <c r="AO276" s="43"/>
      <c r="AP276" s="43"/>
      <c r="AQ276" s="43"/>
      <c r="AR276" s="53"/>
      <c r="AS276" s="52"/>
      <c r="AT276" s="43"/>
      <c r="AU276" s="43"/>
      <c r="AV276" s="43"/>
      <c r="AW276" s="43"/>
      <c r="AX276" s="43"/>
      <c r="AY276" s="43"/>
      <c r="AZ276" s="43"/>
      <c r="BA276" s="43"/>
      <c r="BB276" s="43"/>
      <c r="BC276" s="43"/>
      <c r="BD276" s="43"/>
      <c r="BE276" s="43"/>
      <c r="BF276" s="43"/>
      <c r="BG276" s="43"/>
      <c r="BH276" s="43"/>
      <c r="BI276" s="43"/>
      <c r="BJ276" s="43"/>
      <c r="BK276" s="43"/>
      <c r="BL276" s="43"/>
      <c r="BM276" s="43"/>
      <c r="BN276" s="43"/>
      <c r="BO276" s="43"/>
      <c r="BP276" s="43"/>
      <c r="BQ276" s="43"/>
      <c r="BR276" s="43"/>
      <c r="BS276" s="43"/>
      <c r="BT276" s="43"/>
      <c r="BU276" s="43"/>
      <c r="BV276" s="43"/>
      <c r="BW276" s="53"/>
      <c r="BX276" s="30">
        <f t="shared" si="75"/>
        <v>0</v>
      </c>
      <c r="BY276" s="52">
        <f t="shared" si="76"/>
        <v>0</v>
      </c>
      <c r="BZ276" s="48">
        <f t="shared" si="74"/>
        <v>77.36</v>
      </c>
      <c r="CA276" s="43"/>
      <c r="CB276" s="43"/>
      <c r="CC276" s="43"/>
      <c r="CD276" s="43"/>
      <c r="CE276" s="43"/>
      <c r="CF276" s="43"/>
      <c r="CG276" s="53"/>
      <c r="CH276" s="52"/>
      <c r="CI276" s="43"/>
      <c r="CJ276" s="43"/>
      <c r="CK276" s="43"/>
      <c r="CL276" s="43"/>
      <c r="CM276" s="43"/>
      <c r="CN276" s="43"/>
      <c r="CO276" s="43"/>
      <c r="CP276" s="43"/>
      <c r="CQ276" s="43"/>
      <c r="CR276" s="43"/>
      <c r="CS276" s="43"/>
      <c r="CT276" s="43"/>
      <c r="CU276" s="43"/>
      <c r="CV276" s="43"/>
      <c r="CW276" s="43"/>
      <c r="CX276" s="43"/>
      <c r="CY276" s="43"/>
      <c r="CZ276" s="7"/>
      <c r="DA276" s="7"/>
      <c r="DB276" s="43"/>
      <c r="DC276" s="43"/>
      <c r="DD276" s="53"/>
      <c r="DE276" s="73">
        <f t="shared" si="78"/>
        <v>0</v>
      </c>
      <c r="DG276" s="52"/>
      <c r="DH276" s="43"/>
      <c r="DI276" s="50">
        <f t="shared" si="79"/>
        <v>6628.0433333333322</v>
      </c>
      <c r="DK276" s="52"/>
      <c r="DL276" s="43"/>
      <c r="DM276" s="50">
        <f t="shared" si="80"/>
        <v>4432.51</v>
      </c>
      <c r="DO276" s="52"/>
      <c r="DP276" s="43"/>
      <c r="DQ276" s="50">
        <f t="shared" si="81"/>
        <v>7995.9800000000032</v>
      </c>
      <c r="DT276" s="52"/>
      <c r="DU276" s="43"/>
      <c r="DV276" s="50">
        <f t="shared" si="82"/>
        <v>518.17000000000007</v>
      </c>
      <c r="DX276" s="52"/>
      <c r="DY276" s="43"/>
      <c r="DZ276" s="53">
        <f t="shared" si="83"/>
        <v>617.75</v>
      </c>
      <c r="EB276" s="52"/>
      <c r="EC276" s="43"/>
      <c r="ED276" s="53">
        <f t="shared" si="84"/>
        <v>500</v>
      </c>
      <c r="EF276" s="52"/>
      <c r="EG276" s="43"/>
      <c r="EH276" s="53">
        <f t="shared" si="85"/>
        <v>1048.04</v>
      </c>
      <c r="EJ276" s="65"/>
      <c r="EK276" s="7"/>
      <c r="EL276" s="53">
        <f t="shared" si="86"/>
        <v>25.299999999999997</v>
      </c>
      <c r="EN276" s="51">
        <f t="shared" si="87"/>
        <v>-2233.1033333333144</v>
      </c>
      <c r="EP276" s="60">
        <f t="shared" si="88"/>
        <v>0</v>
      </c>
      <c r="EQ276" s="61">
        <f t="shared" si="89"/>
        <v>0</v>
      </c>
      <c r="ER276" s="15">
        <f t="shared" si="90"/>
        <v>0</v>
      </c>
      <c r="ES276" s="163">
        <f t="shared" si="73"/>
        <v>0</v>
      </c>
      <c r="EU276">
        <v>269</v>
      </c>
    </row>
    <row r="277" spans="1:151" x14ac:dyDescent="0.45">
      <c r="A277" s="9">
        <v>45709</v>
      </c>
      <c r="B277" t="s">
        <v>971</v>
      </c>
      <c r="C277" s="4" t="s">
        <v>633</v>
      </c>
      <c r="D277" s="7"/>
      <c r="E277">
        <v>38.68</v>
      </c>
      <c r="F277" s="43"/>
      <c r="G277" s="16">
        <f t="shared" si="77"/>
        <v>19571.370000000021</v>
      </c>
      <c r="H277" s="64" t="s">
        <v>625</v>
      </c>
      <c r="I277" s="52"/>
      <c r="J277" s="43"/>
      <c r="K277" s="43"/>
      <c r="L277" s="43"/>
      <c r="M277" s="43"/>
      <c r="N277" s="43"/>
      <c r="O277" s="43"/>
      <c r="P277" s="43"/>
      <c r="Q277" s="43"/>
      <c r="R277" s="43"/>
      <c r="S277" s="43"/>
      <c r="T277" s="43"/>
      <c r="U277" s="43"/>
      <c r="V277" s="43"/>
      <c r="W277" s="43"/>
      <c r="X277" s="43"/>
      <c r="Y277" s="43"/>
      <c r="Z277" s="43">
        <v>38.68</v>
      </c>
      <c r="AA277" s="43"/>
      <c r="AB277" s="43"/>
      <c r="AC277" s="43"/>
      <c r="AD277" s="43"/>
      <c r="AE277" s="43"/>
      <c r="AF277" s="43"/>
      <c r="AG277" s="43"/>
      <c r="AH277" s="43"/>
      <c r="AI277" s="43"/>
      <c r="AJ277" s="43"/>
      <c r="AK277" s="43"/>
      <c r="AL277" s="43"/>
      <c r="AM277" s="43"/>
      <c r="AN277" s="43"/>
      <c r="AO277" s="43"/>
      <c r="AP277" s="43"/>
      <c r="AQ277" s="43"/>
      <c r="AR277" s="53"/>
      <c r="AS277" s="52"/>
      <c r="AT277" s="43"/>
      <c r="AU277" s="43"/>
      <c r="AV277" s="43"/>
      <c r="AW277" s="43"/>
      <c r="AX277" s="43"/>
      <c r="AY277" s="43"/>
      <c r="AZ277" s="43"/>
      <c r="BA277" s="43"/>
      <c r="BB277" s="43"/>
      <c r="BC277" s="43"/>
      <c r="BD277" s="43"/>
      <c r="BE277" s="43"/>
      <c r="BF277" s="43"/>
      <c r="BG277" s="43"/>
      <c r="BH277" s="43"/>
      <c r="BI277" s="43"/>
      <c r="BJ277" s="43"/>
      <c r="BK277" s="43"/>
      <c r="BL277" s="43"/>
      <c r="BM277" s="43"/>
      <c r="BN277" s="43"/>
      <c r="BO277" s="43"/>
      <c r="BP277" s="43"/>
      <c r="BQ277" s="43"/>
      <c r="BR277" s="43"/>
      <c r="BS277" s="43"/>
      <c r="BT277" s="43"/>
      <c r="BU277" s="43"/>
      <c r="BV277" s="43"/>
      <c r="BW277" s="53"/>
      <c r="BX277" s="30">
        <f t="shared" si="75"/>
        <v>0</v>
      </c>
      <c r="BY277" s="52">
        <f t="shared" si="76"/>
        <v>0</v>
      </c>
      <c r="BZ277" s="48">
        <f t="shared" si="74"/>
        <v>38.68</v>
      </c>
      <c r="CA277" s="43"/>
      <c r="CB277" s="43"/>
      <c r="CC277" s="43"/>
      <c r="CD277" s="43"/>
      <c r="CE277" s="43"/>
      <c r="CF277" s="43"/>
      <c r="CG277" s="53"/>
      <c r="CH277" s="52"/>
      <c r="CI277" s="43"/>
      <c r="CJ277" s="43"/>
      <c r="CK277" s="43"/>
      <c r="CL277" s="43"/>
      <c r="CM277" s="43"/>
      <c r="CN277" s="43"/>
      <c r="CO277" s="43"/>
      <c r="CP277" s="43"/>
      <c r="CQ277" s="43"/>
      <c r="CR277" s="43"/>
      <c r="CS277" s="43"/>
      <c r="CT277" s="43"/>
      <c r="CU277" s="43"/>
      <c r="CV277" s="43"/>
      <c r="CW277" s="43"/>
      <c r="CX277" s="43"/>
      <c r="CY277" s="43"/>
      <c r="CZ277" s="7"/>
      <c r="DA277" s="7"/>
      <c r="DB277" s="43"/>
      <c r="DC277" s="43"/>
      <c r="DD277" s="53"/>
      <c r="DE277" s="73">
        <f t="shared" si="78"/>
        <v>0</v>
      </c>
      <c r="DG277" s="52"/>
      <c r="DH277" s="43"/>
      <c r="DI277" s="50">
        <f t="shared" si="79"/>
        <v>6628.0433333333322</v>
      </c>
      <c r="DK277" s="52"/>
      <c r="DL277" s="43"/>
      <c r="DM277" s="50">
        <f t="shared" si="80"/>
        <v>4432.51</v>
      </c>
      <c r="DO277" s="52"/>
      <c r="DP277" s="43"/>
      <c r="DQ277" s="50">
        <f t="shared" si="81"/>
        <v>7995.9800000000032</v>
      </c>
      <c r="DT277" s="52"/>
      <c r="DU277" s="43"/>
      <c r="DV277" s="50">
        <f t="shared" si="82"/>
        <v>518.17000000000007</v>
      </c>
      <c r="DX277" s="52"/>
      <c r="DY277" s="43"/>
      <c r="DZ277" s="53">
        <f t="shared" si="83"/>
        <v>617.75</v>
      </c>
      <c r="EB277" s="52"/>
      <c r="EC277" s="43"/>
      <c r="ED277" s="53">
        <f t="shared" si="84"/>
        <v>500</v>
      </c>
      <c r="EF277" s="52"/>
      <c r="EG277" s="43"/>
      <c r="EH277" s="53">
        <f t="shared" si="85"/>
        <v>1048.04</v>
      </c>
      <c r="EJ277" s="65"/>
      <c r="EK277" s="7"/>
      <c r="EL277" s="53">
        <f t="shared" si="86"/>
        <v>25.299999999999997</v>
      </c>
      <c r="EN277" s="51">
        <f t="shared" si="87"/>
        <v>-2194.4233333333141</v>
      </c>
      <c r="EP277" s="60">
        <f t="shared" si="88"/>
        <v>0</v>
      </c>
      <c r="EQ277" s="61">
        <f t="shared" si="89"/>
        <v>0</v>
      </c>
      <c r="ER277" s="15">
        <f t="shared" si="90"/>
        <v>0</v>
      </c>
      <c r="ES277" s="62">
        <f t="shared" si="73"/>
        <v>0</v>
      </c>
      <c r="EU277" s="6">
        <v>270</v>
      </c>
    </row>
    <row r="278" spans="1:151" x14ac:dyDescent="0.45">
      <c r="A278" s="9">
        <v>45712</v>
      </c>
      <c r="B278" t="s">
        <v>972</v>
      </c>
      <c r="C278" s="4" t="s">
        <v>633</v>
      </c>
      <c r="D278" s="7"/>
      <c r="E278">
        <v>657.56</v>
      </c>
      <c r="F278" s="43"/>
      <c r="G278" s="16">
        <f t="shared" si="77"/>
        <v>20228.930000000022</v>
      </c>
      <c r="H278" s="64" t="s">
        <v>625</v>
      </c>
      <c r="I278" s="52"/>
      <c r="J278" s="43"/>
      <c r="K278" s="43"/>
      <c r="L278" s="43"/>
      <c r="M278" s="43"/>
      <c r="N278" s="43"/>
      <c r="O278" s="43"/>
      <c r="P278" s="43"/>
      <c r="Q278" s="43"/>
      <c r="R278" s="43"/>
      <c r="S278" s="43"/>
      <c r="T278" s="43"/>
      <c r="U278" s="43"/>
      <c r="V278" s="43"/>
      <c r="W278" s="43"/>
      <c r="X278" s="43"/>
      <c r="Y278" s="43">
        <v>657.56</v>
      </c>
      <c r="Z278" s="43"/>
      <c r="AA278" s="43"/>
      <c r="AB278" s="43"/>
      <c r="AC278" s="43"/>
      <c r="AD278" s="43"/>
      <c r="AE278" s="43"/>
      <c r="AF278" s="43"/>
      <c r="AG278" s="43"/>
      <c r="AH278" s="43"/>
      <c r="AI278" s="43"/>
      <c r="AJ278" s="43"/>
      <c r="AK278" s="43"/>
      <c r="AL278" s="43"/>
      <c r="AM278" s="43"/>
      <c r="AN278" s="43"/>
      <c r="AO278" s="43"/>
      <c r="AP278" s="43"/>
      <c r="AQ278" s="43"/>
      <c r="AR278" s="53"/>
      <c r="AS278" s="52"/>
      <c r="AT278" s="43"/>
      <c r="AU278" s="43"/>
      <c r="AV278" s="43"/>
      <c r="AW278" s="43"/>
      <c r="AX278" s="43"/>
      <c r="AY278" s="43"/>
      <c r="AZ278" s="43"/>
      <c r="BA278" s="43"/>
      <c r="BB278" s="43"/>
      <c r="BC278" s="43"/>
      <c r="BD278" s="43"/>
      <c r="BE278" s="43"/>
      <c r="BF278" s="43"/>
      <c r="BG278" s="43"/>
      <c r="BH278" s="43"/>
      <c r="BI278" s="43"/>
      <c r="BJ278" s="43"/>
      <c r="BK278" s="43"/>
      <c r="BL278" s="43"/>
      <c r="BM278" s="43"/>
      <c r="BN278" s="43"/>
      <c r="BO278" s="43"/>
      <c r="BP278" s="43"/>
      <c r="BQ278" s="43"/>
      <c r="BR278" s="43"/>
      <c r="BS278" s="43"/>
      <c r="BT278" s="43"/>
      <c r="BU278" s="43"/>
      <c r="BV278" s="43"/>
      <c r="BW278" s="53"/>
      <c r="BX278" s="30">
        <f t="shared" si="75"/>
        <v>0</v>
      </c>
      <c r="BY278" s="52">
        <f t="shared" si="76"/>
        <v>0</v>
      </c>
      <c r="BZ278" s="48">
        <f t="shared" si="74"/>
        <v>657.56</v>
      </c>
      <c r="CA278" s="43"/>
      <c r="CB278" s="43"/>
      <c r="CC278" s="43"/>
      <c r="CD278" s="43"/>
      <c r="CE278" s="43"/>
      <c r="CF278" s="43"/>
      <c r="CG278" s="53"/>
      <c r="CH278" s="52"/>
      <c r="CI278" s="43"/>
      <c r="CJ278" s="43"/>
      <c r="CK278" s="43"/>
      <c r="CL278" s="43"/>
      <c r="CM278" s="43"/>
      <c r="CN278" s="43"/>
      <c r="CO278" s="43"/>
      <c r="CP278" s="43"/>
      <c r="CQ278" s="43"/>
      <c r="CR278" s="43"/>
      <c r="CS278" s="43"/>
      <c r="CT278" s="43"/>
      <c r="CU278" s="43"/>
      <c r="CV278" s="43"/>
      <c r="CW278" s="43"/>
      <c r="CX278" s="43"/>
      <c r="CY278" s="43"/>
      <c r="CZ278" s="7"/>
      <c r="DA278" s="7"/>
      <c r="DB278" s="43"/>
      <c r="DC278" s="43"/>
      <c r="DD278" s="53"/>
      <c r="DE278" s="73">
        <f t="shared" si="78"/>
        <v>0</v>
      </c>
      <c r="DG278" s="52"/>
      <c r="DH278" s="43"/>
      <c r="DI278" s="50">
        <f t="shared" si="79"/>
        <v>6628.0433333333322</v>
      </c>
      <c r="DK278" s="52"/>
      <c r="DL278" s="43"/>
      <c r="DM278" s="50">
        <f t="shared" si="80"/>
        <v>4432.51</v>
      </c>
      <c r="DO278" s="52"/>
      <c r="DP278" s="43"/>
      <c r="DQ278" s="50">
        <f t="shared" si="81"/>
        <v>7995.9800000000032</v>
      </c>
      <c r="DT278" s="52"/>
      <c r="DU278" s="43"/>
      <c r="DV278" s="50">
        <f t="shared" si="82"/>
        <v>518.17000000000007</v>
      </c>
      <c r="DX278" s="52"/>
      <c r="DY278" s="43"/>
      <c r="DZ278" s="53">
        <f t="shared" si="83"/>
        <v>617.75</v>
      </c>
      <c r="EB278" s="52"/>
      <c r="EC278" s="43"/>
      <c r="ED278" s="53">
        <f t="shared" si="84"/>
        <v>500</v>
      </c>
      <c r="EF278" s="52"/>
      <c r="EG278" s="43"/>
      <c r="EH278" s="53">
        <f t="shared" si="85"/>
        <v>1048.04</v>
      </c>
      <c r="EJ278" s="65"/>
      <c r="EK278" s="7"/>
      <c r="EL278" s="53">
        <f t="shared" si="86"/>
        <v>25.299999999999997</v>
      </c>
      <c r="EN278" s="51">
        <f t="shared" si="87"/>
        <v>-1536.8633333333125</v>
      </c>
      <c r="EP278" s="60">
        <f t="shared" si="88"/>
        <v>0</v>
      </c>
      <c r="EQ278" s="61">
        <f t="shared" si="89"/>
        <v>0</v>
      </c>
      <c r="ER278" s="15">
        <f t="shared" si="90"/>
        <v>0</v>
      </c>
      <c r="ES278" s="163">
        <f t="shared" si="73"/>
        <v>0</v>
      </c>
      <c r="ET278" t="s">
        <v>1004</v>
      </c>
      <c r="EU278">
        <v>271</v>
      </c>
    </row>
    <row r="279" spans="1:151" x14ac:dyDescent="0.45">
      <c r="A279" s="9">
        <v>45712</v>
      </c>
      <c r="B279" t="s">
        <v>973</v>
      </c>
      <c r="C279" s="4" t="s">
        <v>633</v>
      </c>
      <c r="D279" s="7"/>
      <c r="E279">
        <v>77.36</v>
      </c>
      <c r="F279" s="43"/>
      <c r="G279" s="16">
        <f t="shared" si="77"/>
        <v>20306.290000000023</v>
      </c>
      <c r="H279" s="64" t="s">
        <v>625</v>
      </c>
      <c r="I279" s="52"/>
      <c r="J279" s="43"/>
      <c r="K279" s="43"/>
      <c r="L279" s="43"/>
      <c r="M279" s="43"/>
      <c r="N279" s="43"/>
      <c r="O279" s="43"/>
      <c r="P279" s="43"/>
      <c r="Q279" s="43"/>
      <c r="R279" s="43"/>
      <c r="S279" s="43"/>
      <c r="T279" s="43"/>
      <c r="U279" s="43"/>
      <c r="V279" s="43"/>
      <c r="W279" s="43"/>
      <c r="X279" s="43"/>
      <c r="Y279" s="43"/>
      <c r="Z279" s="43">
        <v>77.36</v>
      </c>
      <c r="AA279" s="43"/>
      <c r="AB279" s="43"/>
      <c r="AC279" s="43"/>
      <c r="AD279" s="43"/>
      <c r="AE279" s="43"/>
      <c r="AF279" s="43"/>
      <c r="AG279" s="43"/>
      <c r="AH279" s="43"/>
      <c r="AI279" s="43"/>
      <c r="AJ279" s="43"/>
      <c r="AK279" s="43"/>
      <c r="AL279" s="43"/>
      <c r="AM279" s="43"/>
      <c r="AN279" s="43"/>
      <c r="AO279" s="43"/>
      <c r="AP279" s="43"/>
      <c r="AQ279" s="43"/>
      <c r="AR279" s="53"/>
      <c r="AS279" s="52"/>
      <c r="AT279" s="43"/>
      <c r="AU279" s="43"/>
      <c r="AV279" s="43"/>
      <c r="AW279" s="43"/>
      <c r="AX279" s="43"/>
      <c r="AY279" s="43"/>
      <c r="AZ279" s="43"/>
      <c r="BA279" s="43"/>
      <c r="BB279" s="43"/>
      <c r="BC279" s="43"/>
      <c r="BD279" s="43"/>
      <c r="BE279" s="43"/>
      <c r="BF279" s="43"/>
      <c r="BG279" s="43"/>
      <c r="BH279" s="43"/>
      <c r="BI279" s="43"/>
      <c r="BJ279" s="43"/>
      <c r="BK279" s="43"/>
      <c r="BL279" s="43"/>
      <c r="BM279" s="43"/>
      <c r="BN279" s="43"/>
      <c r="BO279" s="43"/>
      <c r="BP279" s="43"/>
      <c r="BQ279" s="43"/>
      <c r="BR279" s="43"/>
      <c r="BS279" s="43"/>
      <c r="BT279" s="43"/>
      <c r="BU279" s="43"/>
      <c r="BV279" s="43"/>
      <c r="BW279" s="53"/>
      <c r="BX279" s="30">
        <f t="shared" si="75"/>
        <v>0</v>
      </c>
      <c r="BY279" s="52">
        <f t="shared" si="76"/>
        <v>0</v>
      </c>
      <c r="BZ279" s="48">
        <f t="shared" si="74"/>
        <v>77.36</v>
      </c>
      <c r="CA279" s="43"/>
      <c r="CB279" s="43"/>
      <c r="CC279" s="43"/>
      <c r="CD279" s="43"/>
      <c r="CE279" s="43"/>
      <c r="CF279" s="43"/>
      <c r="CG279" s="53"/>
      <c r="CH279" s="52"/>
      <c r="CI279" s="43"/>
      <c r="CJ279" s="43"/>
      <c r="CK279" s="43"/>
      <c r="CL279" s="43"/>
      <c r="CM279" s="43"/>
      <c r="CN279" s="43"/>
      <c r="CO279" s="43"/>
      <c r="CP279" s="43"/>
      <c r="CQ279" s="43"/>
      <c r="CR279" s="43"/>
      <c r="CS279" s="43"/>
      <c r="CT279" s="43"/>
      <c r="CU279" s="43"/>
      <c r="CV279" s="43"/>
      <c r="CW279" s="43"/>
      <c r="CX279" s="43"/>
      <c r="CY279" s="43"/>
      <c r="CZ279" s="7"/>
      <c r="DA279" s="7"/>
      <c r="DB279" s="43"/>
      <c r="DC279" s="43"/>
      <c r="DD279" s="53"/>
      <c r="DE279" s="73">
        <f t="shared" si="78"/>
        <v>0</v>
      </c>
      <c r="DG279" s="52"/>
      <c r="DH279" s="43"/>
      <c r="DI279" s="50">
        <f t="shared" si="79"/>
        <v>6628.0433333333322</v>
      </c>
      <c r="DK279" s="52"/>
      <c r="DL279" s="43"/>
      <c r="DM279" s="50">
        <f t="shared" si="80"/>
        <v>4432.51</v>
      </c>
      <c r="DO279" s="52"/>
      <c r="DP279" s="43"/>
      <c r="DQ279" s="50">
        <f t="shared" si="81"/>
        <v>7995.9800000000032</v>
      </c>
      <c r="DT279" s="52"/>
      <c r="DU279" s="43"/>
      <c r="DV279" s="50">
        <f t="shared" si="82"/>
        <v>518.17000000000007</v>
      </c>
      <c r="DX279" s="52"/>
      <c r="DY279" s="43"/>
      <c r="DZ279" s="53">
        <f t="shared" si="83"/>
        <v>617.75</v>
      </c>
      <c r="EB279" s="52"/>
      <c r="EC279" s="43"/>
      <c r="ED279" s="53">
        <f t="shared" si="84"/>
        <v>500</v>
      </c>
      <c r="EF279" s="52"/>
      <c r="EG279" s="43"/>
      <c r="EH279" s="53">
        <f t="shared" si="85"/>
        <v>1048.04</v>
      </c>
      <c r="EJ279" s="65"/>
      <c r="EK279" s="7"/>
      <c r="EL279" s="53">
        <f t="shared" si="86"/>
        <v>25.299999999999997</v>
      </c>
      <c r="EN279" s="51">
        <f t="shared" si="87"/>
        <v>-1459.503333333312</v>
      </c>
      <c r="EP279" s="60">
        <f t="shared" si="88"/>
        <v>0</v>
      </c>
      <c r="EQ279" s="61">
        <f t="shared" si="89"/>
        <v>0</v>
      </c>
      <c r="ER279" s="15">
        <f t="shared" si="90"/>
        <v>0</v>
      </c>
      <c r="ES279" s="62">
        <f t="shared" si="73"/>
        <v>0</v>
      </c>
      <c r="EU279" s="6">
        <v>272</v>
      </c>
    </row>
    <row r="280" spans="1:151" x14ac:dyDescent="0.45">
      <c r="A280" s="9">
        <v>45713</v>
      </c>
      <c r="B280" t="s">
        <v>974</v>
      </c>
      <c r="C280" s="223" t="s">
        <v>633</v>
      </c>
      <c r="D280" s="7"/>
      <c r="E280">
        <v>38.68</v>
      </c>
      <c r="F280" s="43"/>
      <c r="G280" s="16">
        <f t="shared" si="77"/>
        <v>20344.970000000023</v>
      </c>
      <c r="H280" s="64" t="s">
        <v>625</v>
      </c>
      <c r="I280" s="52"/>
      <c r="J280" s="43"/>
      <c r="K280" s="43"/>
      <c r="L280" s="43"/>
      <c r="M280" s="43"/>
      <c r="N280" s="43"/>
      <c r="O280" s="43"/>
      <c r="P280" s="43"/>
      <c r="Q280" s="43"/>
      <c r="R280" s="43"/>
      <c r="S280" s="43"/>
      <c r="T280" s="43"/>
      <c r="U280" s="43"/>
      <c r="V280" s="43"/>
      <c r="W280" s="43"/>
      <c r="X280" s="43">
        <v>38.68</v>
      </c>
      <c r="Y280" s="43"/>
      <c r="Z280" s="43"/>
      <c r="AA280" s="43"/>
      <c r="AB280" s="43"/>
      <c r="AC280" s="43"/>
      <c r="AD280" s="43"/>
      <c r="AE280" s="43"/>
      <c r="AF280" s="43"/>
      <c r="AG280" s="43"/>
      <c r="AH280" s="43"/>
      <c r="AI280" s="43"/>
      <c r="AJ280" s="43"/>
      <c r="AK280" s="43"/>
      <c r="AL280" s="43"/>
      <c r="AM280" s="43"/>
      <c r="AN280" s="43"/>
      <c r="AO280" s="43"/>
      <c r="AP280" s="43"/>
      <c r="AQ280" s="43"/>
      <c r="AR280" s="53"/>
      <c r="AS280" s="52"/>
      <c r="AT280" s="43"/>
      <c r="AU280" s="43"/>
      <c r="AV280" s="43"/>
      <c r="AW280" s="43"/>
      <c r="AX280" s="43"/>
      <c r="AY280" s="43"/>
      <c r="AZ280" s="43"/>
      <c r="BA280" s="43"/>
      <c r="BB280" s="43"/>
      <c r="BC280" s="43"/>
      <c r="BD280" s="43"/>
      <c r="BE280" s="43"/>
      <c r="BF280" s="43"/>
      <c r="BG280" s="43"/>
      <c r="BH280" s="43"/>
      <c r="BI280" s="43"/>
      <c r="BJ280" s="43"/>
      <c r="BK280" s="43"/>
      <c r="BL280" s="43"/>
      <c r="BM280" s="43"/>
      <c r="BN280" s="43"/>
      <c r="BO280" s="43"/>
      <c r="BP280" s="43"/>
      <c r="BQ280" s="43"/>
      <c r="BR280" s="43"/>
      <c r="BS280" s="43"/>
      <c r="BT280" s="43"/>
      <c r="BU280" s="43"/>
      <c r="BV280" s="43"/>
      <c r="BW280" s="53"/>
      <c r="BX280" s="30">
        <f t="shared" si="75"/>
        <v>0</v>
      </c>
      <c r="BY280" s="52">
        <f t="shared" si="76"/>
        <v>0</v>
      </c>
      <c r="BZ280" s="48">
        <f t="shared" si="74"/>
        <v>38.68</v>
      </c>
      <c r="CA280" s="43"/>
      <c r="CB280" s="43"/>
      <c r="CC280" s="43"/>
      <c r="CD280" s="43"/>
      <c r="CE280" s="43"/>
      <c r="CF280" s="43"/>
      <c r="CG280" s="53"/>
      <c r="CH280" s="52"/>
      <c r="CI280" s="43"/>
      <c r="CJ280" s="43"/>
      <c r="CK280" s="43"/>
      <c r="CL280" s="43"/>
      <c r="CM280" s="43"/>
      <c r="CN280" s="43"/>
      <c r="CO280" s="43"/>
      <c r="CP280" s="43"/>
      <c r="CQ280" s="43"/>
      <c r="CR280" s="43"/>
      <c r="CS280" s="43"/>
      <c r="CT280" s="43"/>
      <c r="CU280" s="43"/>
      <c r="CV280" s="43"/>
      <c r="CW280" s="43"/>
      <c r="CX280" s="43"/>
      <c r="CY280" s="43"/>
      <c r="CZ280" s="7"/>
      <c r="DA280" s="7"/>
      <c r="DB280" s="43"/>
      <c r="DC280" s="43"/>
      <c r="DD280" s="53"/>
      <c r="DE280" s="73">
        <f t="shared" si="78"/>
        <v>0</v>
      </c>
      <c r="DG280" s="52"/>
      <c r="DH280" s="43"/>
      <c r="DI280" s="50">
        <f t="shared" si="79"/>
        <v>6628.0433333333322</v>
      </c>
      <c r="DK280" s="52"/>
      <c r="DL280" s="43"/>
      <c r="DM280" s="50">
        <f t="shared" si="80"/>
        <v>4432.51</v>
      </c>
      <c r="DO280" s="52"/>
      <c r="DP280" s="43"/>
      <c r="DQ280" s="50">
        <f t="shared" si="81"/>
        <v>7995.9800000000032</v>
      </c>
      <c r="DT280" s="52"/>
      <c r="DU280" s="43"/>
      <c r="DV280" s="50">
        <f t="shared" si="82"/>
        <v>518.17000000000007</v>
      </c>
      <c r="DX280" s="52"/>
      <c r="DY280" s="43"/>
      <c r="DZ280" s="53">
        <f t="shared" si="83"/>
        <v>617.75</v>
      </c>
      <c r="EB280" s="52"/>
      <c r="EC280" s="43"/>
      <c r="ED280" s="53">
        <f t="shared" si="84"/>
        <v>500</v>
      </c>
      <c r="EF280" s="52"/>
      <c r="EG280" s="43"/>
      <c r="EH280" s="53">
        <f t="shared" si="85"/>
        <v>1048.04</v>
      </c>
      <c r="EJ280" s="65"/>
      <c r="EK280" s="7"/>
      <c r="EL280" s="53">
        <f t="shared" si="86"/>
        <v>25.299999999999997</v>
      </c>
      <c r="EN280" s="51">
        <f t="shared" si="87"/>
        <v>-1420.8233333333117</v>
      </c>
      <c r="EP280" s="60">
        <f t="shared" si="88"/>
        <v>0</v>
      </c>
      <c r="EQ280" s="61">
        <f t="shared" si="89"/>
        <v>0</v>
      </c>
      <c r="ER280" s="15">
        <f t="shared" si="90"/>
        <v>0</v>
      </c>
      <c r="ES280" s="163">
        <f t="shared" si="73"/>
        <v>0</v>
      </c>
      <c r="EU280">
        <v>273</v>
      </c>
    </row>
    <row r="281" spans="1:151" x14ac:dyDescent="0.45">
      <c r="A281" s="9">
        <v>45713</v>
      </c>
      <c r="B281" t="s">
        <v>975</v>
      </c>
      <c r="C281" s="3" t="s">
        <v>632</v>
      </c>
      <c r="D281" s="7"/>
      <c r="E281">
        <v>500</v>
      </c>
      <c r="F281" s="43"/>
      <c r="G281" s="16">
        <f t="shared" si="77"/>
        <v>20844.970000000023</v>
      </c>
      <c r="H281" s="64" t="s">
        <v>625</v>
      </c>
      <c r="I281" s="52"/>
      <c r="J281" s="43"/>
      <c r="K281" s="43"/>
      <c r="L281" s="43">
        <v>500</v>
      </c>
      <c r="M281" s="43"/>
      <c r="N281" s="43"/>
      <c r="O281" s="43"/>
      <c r="P281" s="43"/>
      <c r="Q281" s="43"/>
      <c r="R281" s="43"/>
      <c r="S281" s="43"/>
      <c r="T281" s="43"/>
      <c r="U281" s="43"/>
      <c r="V281" s="43"/>
      <c r="W281" s="43"/>
      <c r="X281" s="43"/>
      <c r="Y281" s="43"/>
      <c r="Z281" s="43"/>
      <c r="AA281" s="43"/>
      <c r="AB281" s="43"/>
      <c r="AC281" s="43"/>
      <c r="AD281" s="43"/>
      <c r="AE281" s="43"/>
      <c r="AF281" s="43"/>
      <c r="AG281" s="43"/>
      <c r="AH281" s="43"/>
      <c r="AI281" s="43"/>
      <c r="AJ281" s="43"/>
      <c r="AK281" s="43"/>
      <c r="AL281" s="43"/>
      <c r="AM281" s="43"/>
      <c r="AN281" s="43"/>
      <c r="AO281" s="43"/>
      <c r="AP281" s="43"/>
      <c r="AQ281" s="43"/>
      <c r="AR281" s="53"/>
      <c r="AS281" s="52"/>
      <c r="AT281" s="43"/>
      <c r="AU281" s="43"/>
      <c r="AV281" s="43"/>
      <c r="AW281" s="43"/>
      <c r="AX281" s="43"/>
      <c r="AY281" s="43"/>
      <c r="AZ281" s="43"/>
      <c r="BA281" s="43"/>
      <c r="BB281" s="43"/>
      <c r="BC281" s="43"/>
      <c r="BD281" s="43"/>
      <c r="BE281" s="43"/>
      <c r="BF281" s="43"/>
      <c r="BG281" s="43"/>
      <c r="BH281" s="43"/>
      <c r="BI281" s="43"/>
      <c r="BJ281" s="43"/>
      <c r="BK281" s="43"/>
      <c r="BL281" s="43"/>
      <c r="BM281" s="43"/>
      <c r="BN281" s="43"/>
      <c r="BO281" s="43"/>
      <c r="BP281" s="43"/>
      <c r="BQ281" s="43"/>
      <c r="BR281" s="43"/>
      <c r="BS281" s="43"/>
      <c r="BT281" s="43"/>
      <c r="BU281" s="43"/>
      <c r="BV281" s="43"/>
      <c r="BW281" s="53"/>
      <c r="BX281" s="30">
        <f t="shared" si="75"/>
        <v>0</v>
      </c>
      <c r="BY281" s="52">
        <f t="shared" si="76"/>
        <v>500</v>
      </c>
      <c r="BZ281" s="43"/>
      <c r="CA281" s="43"/>
      <c r="CB281" s="43"/>
      <c r="CC281" s="43"/>
      <c r="CD281" s="43"/>
      <c r="CE281" s="43"/>
      <c r="CF281" s="43"/>
      <c r="CG281" s="53"/>
      <c r="CH281" s="52"/>
      <c r="CI281" s="43"/>
      <c r="CJ281" s="43"/>
      <c r="CK281" s="43"/>
      <c r="CL281" s="43"/>
      <c r="CM281" s="43"/>
      <c r="CN281" s="43"/>
      <c r="CO281" s="43"/>
      <c r="CP281" s="43"/>
      <c r="CQ281" s="43"/>
      <c r="CR281" s="43"/>
      <c r="CS281" s="43"/>
      <c r="CT281" s="43"/>
      <c r="CU281" s="43"/>
      <c r="CV281" s="43"/>
      <c r="CW281" s="43"/>
      <c r="CX281" s="43"/>
      <c r="CY281" s="43"/>
      <c r="CZ281" s="7"/>
      <c r="DA281" s="7"/>
      <c r="DB281" s="43"/>
      <c r="DC281" s="43"/>
      <c r="DD281" s="53"/>
      <c r="DE281" s="73">
        <f t="shared" si="78"/>
        <v>0</v>
      </c>
      <c r="DG281" s="52"/>
      <c r="DH281" s="43"/>
      <c r="DI281" s="50">
        <f t="shared" si="79"/>
        <v>6628.0433333333322</v>
      </c>
      <c r="DK281" s="52"/>
      <c r="DL281" s="43"/>
      <c r="DM281" s="50">
        <f t="shared" si="80"/>
        <v>4432.51</v>
      </c>
      <c r="DO281" s="52"/>
      <c r="DP281" s="43"/>
      <c r="DQ281" s="50">
        <f t="shared" si="81"/>
        <v>7995.9800000000032</v>
      </c>
      <c r="DT281" s="52"/>
      <c r="DU281" s="43"/>
      <c r="DV281" s="50">
        <f t="shared" si="82"/>
        <v>518.17000000000007</v>
      </c>
      <c r="DX281" s="52"/>
      <c r="DY281" s="43"/>
      <c r="DZ281" s="53">
        <f t="shared" si="83"/>
        <v>617.75</v>
      </c>
      <c r="EB281" s="52"/>
      <c r="EC281" s="43"/>
      <c r="ED281" s="53">
        <f t="shared" si="84"/>
        <v>500</v>
      </c>
      <c r="EF281" s="52"/>
      <c r="EG281" s="43"/>
      <c r="EH281" s="53">
        <f t="shared" si="85"/>
        <v>1048.04</v>
      </c>
      <c r="EJ281" s="65"/>
      <c r="EK281" s="7"/>
      <c r="EL281" s="53">
        <f t="shared" si="86"/>
        <v>25.299999999999997</v>
      </c>
      <c r="EN281" s="51">
        <f t="shared" si="87"/>
        <v>-920.82333333331167</v>
      </c>
      <c r="EP281" s="60">
        <f t="shared" si="88"/>
        <v>0</v>
      </c>
      <c r="EQ281" s="61">
        <f t="shared" si="89"/>
        <v>0</v>
      </c>
      <c r="ER281" s="15">
        <f t="shared" si="90"/>
        <v>0</v>
      </c>
      <c r="ES281" s="62">
        <f t="shared" si="73"/>
        <v>0</v>
      </c>
      <c r="ET281" t="s">
        <v>1004</v>
      </c>
      <c r="EU281" s="6">
        <v>274</v>
      </c>
    </row>
    <row r="282" spans="1:151" x14ac:dyDescent="0.45">
      <c r="A282" s="9">
        <v>45714</v>
      </c>
      <c r="B282" t="s">
        <v>976</v>
      </c>
      <c r="C282" s="4" t="s">
        <v>633</v>
      </c>
      <c r="D282" s="7"/>
      <c r="E282">
        <v>38.68</v>
      </c>
      <c r="F282" s="43"/>
      <c r="G282" s="16">
        <f t="shared" si="77"/>
        <v>20883.650000000023</v>
      </c>
      <c r="H282" s="64" t="s">
        <v>625</v>
      </c>
      <c r="I282" s="52"/>
      <c r="J282" s="43"/>
      <c r="K282" s="43"/>
      <c r="L282" s="43"/>
      <c r="M282" s="43"/>
      <c r="N282" s="43"/>
      <c r="O282" s="43"/>
      <c r="P282" s="43"/>
      <c r="Q282" s="43"/>
      <c r="R282" s="43"/>
      <c r="S282" s="43"/>
      <c r="T282" s="43"/>
      <c r="U282" s="43"/>
      <c r="V282" s="43"/>
      <c r="W282" s="43"/>
      <c r="X282" s="43">
        <v>38.68</v>
      </c>
      <c r="Y282" s="43"/>
      <c r="Z282" s="43"/>
      <c r="AA282" s="43"/>
      <c r="AB282" s="43"/>
      <c r="AC282" s="43"/>
      <c r="AD282" s="43"/>
      <c r="AE282" s="43"/>
      <c r="AF282" s="43"/>
      <c r="AG282" s="43"/>
      <c r="AH282" s="43"/>
      <c r="AI282" s="43"/>
      <c r="AJ282" s="43"/>
      <c r="AK282" s="43"/>
      <c r="AL282" s="43"/>
      <c r="AM282" s="43"/>
      <c r="AN282" s="43"/>
      <c r="AO282" s="43"/>
      <c r="AP282" s="43"/>
      <c r="AQ282" s="43"/>
      <c r="AR282" s="53"/>
      <c r="AS282" s="52"/>
      <c r="AT282" s="43"/>
      <c r="AU282" s="43"/>
      <c r="AV282" s="43"/>
      <c r="AW282" s="43"/>
      <c r="AX282" s="43"/>
      <c r="AY282" s="43"/>
      <c r="AZ282" s="43"/>
      <c r="BA282" s="43"/>
      <c r="BB282" s="43"/>
      <c r="BC282" s="43"/>
      <c r="BD282" s="43"/>
      <c r="BE282" s="43"/>
      <c r="BF282" s="43"/>
      <c r="BG282" s="43"/>
      <c r="BH282" s="43"/>
      <c r="BI282" s="43"/>
      <c r="BJ282" s="43"/>
      <c r="BK282" s="43"/>
      <c r="BL282" s="43"/>
      <c r="BM282" s="43"/>
      <c r="BN282" s="43"/>
      <c r="BO282" s="43"/>
      <c r="BP282" s="43"/>
      <c r="BQ282" s="43"/>
      <c r="BR282" s="43"/>
      <c r="BS282" s="43"/>
      <c r="BT282" s="43"/>
      <c r="BU282" s="43"/>
      <c r="BV282" s="43"/>
      <c r="BW282" s="53"/>
      <c r="BX282" s="30">
        <f t="shared" si="75"/>
        <v>0</v>
      </c>
      <c r="BY282" s="52">
        <f t="shared" si="76"/>
        <v>0</v>
      </c>
      <c r="BZ282" s="48">
        <f>E282</f>
        <v>38.68</v>
      </c>
      <c r="CA282" s="43"/>
      <c r="CB282" s="43"/>
      <c r="CC282" s="43"/>
      <c r="CD282" s="43"/>
      <c r="CE282" s="43"/>
      <c r="CF282" s="43"/>
      <c r="CG282" s="53"/>
      <c r="CH282" s="52"/>
      <c r="CI282" s="43"/>
      <c r="CJ282" s="43"/>
      <c r="CK282" s="43"/>
      <c r="CL282" s="43"/>
      <c r="CM282" s="43"/>
      <c r="CN282" s="43"/>
      <c r="CO282" s="43"/>
      <c r="CP282" s="43"/>
      <c r="CQ282" s="43"/>
      <c r="CR282" s="43"/>
      <c r="CS282" s="43"/>
      <c r="CT282" s="43"/>
      <c r="CU282" s="43"/>
      <c r="CV282" s="43"/>
      <c r="CW282" s="43"/>
      <c r="CX282" s="43"/>
      <c r="CY282" s="43"/>
      <c r="CZ282" s="7"/>
      <c r="DA282" s="7"/>
      <c r="DB282" s="43"/>
      <c r="DC282" s="43"/>
      <c r="DD282" s="53"/>
      <c r="DE282" s="73">
        <f t="shared" si="78"/>
        <v>0</v>
      </c>
      <c r="DG282" s="52"/>
      <c r="DH282" s="43"/>
      <c r="DI282" s="50">
        <f t="shared" si="79"/>
        <v>6628.0433333333322</v>
      </c>
      <c r="DK282" s="52"/>
      <c r="DL282" s="43"/>
      <c r="DM282" s="50">
        <f t="shared" si="80"/>
        <v>4432.51</v>
      </c>
      <c r="DO282" s="52"/>
      <c r="DP282" s="43"/>
      <c r="DQ282" s="50">
        <f t="shared" si="81"/>
        <v>7995.9800000000032</v>
      </c>
      <c r="DT282" s="52"/>
      <c r="DU282" s="43"/>
      <c r="DV282" s="50">
        <f t="shared" si="82"/>
        <v>518.17000000000007</v>
      </c>
      <c r="DX282" s="52"/>
      <c r="DY282" s="43"/>
      <c r="DZ282" s="53">
        <f t="shared" si="83"/>
        <v>617.75</v>
      </c>
      <c r="EB282" s="52"/>
      <c r="EC282" s="43"/>
      <c r="ED282" s="53">
        <f t="shared" si="84"/>
        <v>500</v>
      </c>
      <c r="EF282" s="52"/>
      <c r="EG282" s="43"/>
      <c r="EH282" s="53">
        <f t="shared" si="85"/>
        <v>1048.04</v>
      </c>
      <c r="EJ282" s="65"/>
      <c r="EK282" s="7"/>
      <c r="EL282" s="53">
        <f t="shared" si="86"/>
        <v>25.299999999999997</v>
      </c>
      <c r="EN282" s="51">
        <f t="shared" si="87"/>
        <v>-882.14333333331138</v>
      </c>
      <c r="EP282" s="60">
        <f t="shared" si="88"/>
        <v>0</v>
      </c>
      <c r="EQ282" s="61">
        <f t="shared" si="89"/>
        <v>0</v>
      </c>
      <c r="ER282" s="15">
        <f t="shared" si="90"/>
        <v>0</v>
      </c>
      <c r="ES282" s="163">
        <f t="shared" ref="ES282:ES303" si="91">+X282+Y282+Z282+AA282-BZ282-CA282-CB282-CC282</f>
        <v>0</v>
      </c>
      <c r="EU282">
        <v>275</v>
      </c>
    </row>
    <row r="283" spans="1:151" x14ac:dyDescent="0.45">
      <c r="A283" s="9">
        <v>45716</v>
      </c>
      <c r="B283" t="s">
        <v>977</v>
      </c>
      <c r="C283" s="4" t="s">
        <v>633</v>
      </c>
      <c r="D283" s="7"/>
      <c r="E283">
        <v>77.36</v>
      </c>
      <c r="F283" s="43"/>
      <c r="G283" s="16">
        <f t="shared" si="77"/>
        <v>20961.010000000024</v>
      </c>
      <c r="H283" s="64" t="s">
        <v>625</v>
      </c>
      <c r="I283" s="52"/>
      <c r="J283" s="43"/>
      <c r="K283" s="43"/>
      <c r="L283" s="43"/>
      <c r="M283" s="43"/>
      <c r="N283" s="43"/>
      <c r="O283" s="43"/>
      <c r="P283" s="43"/>
      <c r="Q283" s="43"/>
      <c r="R283" s="43"/>
      <c r="S283" s="43"/>
      <c r="T283" s="43"/>
      <c r="U283" s="43"/>
      <c r="V283" s="43"/>
      <c r="W283" s="43"/>
      <c r="X283" s="43"/>
      <c r="Y283" s="43">
        <v>77.36</v>
      </c>
      <c r="Z283" s="43"/>
      <c r="AA283" s="43"/>
      <c r="AB283" s="43"/>
      <c r="AC283" s="43"/>
      <c r="AD283" s="43"/>
      <c r="AE283" s="43"/>
      <c r="AF283" s="43"/>
      <c r="AG283" s="43"/>
      <c r="AH283" s="43"/>
      <c r="AI283" s="43"/>
      <c r="AJ283" s="43"/>
      <c r="AK283" s="43"/>
      <c r="AL283" s="43"/>
      <c r="AM283" s="43"/>
      <c r="AN283" s="43"/>
      <c r="AO283" s="43"/>
      <c r="AP283" s="43"/>
      <c r="AQ283" s="43"/>
      <c r="AR283" s="53"/>
      <c r="AS283" s="52"/>
      <c r="AT283" s="43"/>
      <c r="AU283" s="43"/>
      <c r="AV283" s="43"/>
      <c r="AW283" s="43"/>
      <c r="AX283" s="43"/>
      <c r="AY283" s="43"/>
      <c r="AZ283" s="43"/>
      <c r="BA283" s="43"/>
      <c r="BB283" s="43"/>
      <c r="BC283" s="43"/>
      <c r="BD283" s="43"/>
      <c r="BE283" s="43"/>
      <c r="BF283" s="43"/>
      <c r="BG283" s="43"/>
      <c r="BH283" s="43"/>
      <c r="BI283" s="43"/>
      <c r="BJ283" s="43"/>
      <c r="BK283" s="43"/>
      <c r="BL283" s="43"/>
      <c r="BM283" s="43"/>
      <c r="BN283" s="43"/>
      <c r="BO283" s="43"/>
      <c r="BP283" s="43"/>
      <c r="BQ283" s="43"/>
      <c r="BR283" s="43"/>
      <c r="BS283" s="43"/>
      <c r="BT283" s="43"/>
      <c r="BU283" s="43"/>
      <c r="BV283" s="43"/>
      <c r="BW283" s="53"/>
      <c r="BX283" s="30">
        <f t="shared" si="75"/>
        <v>0</v>
      </c>
      <c r="BY283" s="52">
        <f t="shared" si="76"/>
        <v>0</v>
      </c>
      <c r="BZ283" s="48">
        <f>E283</f>
        <v>77.36</v>
      </c>
      <c r="CA283" s="43"/>
      <c r="CB283" s="43"/>
      <c r="CC283" s="43"/>
      <c r="CD283" s="43"/>
      <c r="CE283" s="43"/>
      <c r="CF283" s="43"/>
      <c r="CG283" s="53"/>
      <c r="CH283" s="52"/>
      <c r="CI283" s="43"/>
      <c r="CJ283" s="43"/>
      <c r="CK283" s="43"/>
      <c r="CL283" s="43"/>
      <c r="CM283" s="43"/>
      <c r="CN283" s="43"/>
      <c r="CO283" s="43"/>
      <c r="CP283" s="43"/>
      <c r="CQ283" s="43"/>
      <c r="CR283" s="43"/>
      <c r="CS283" s="43"/>
      <c r="CT283" s="43"/>
      <c r="CU283" s="43"/>
      <c r="CV283" s="43"/>
      <c r="CW283" s="43"/>
      <c r="CX283" s="43"/>
      <c r="CY283" s="43"/>
      <c r="CZ283" s="7"/>
      <c r="DA283" s="7"/>
      <c r="DB283" s="43"/>
      <c r="DC283" s="43"/>
      <c r="DD283" s="53"/>
      <c r="DE283" s="73">
        <f t="shared" si="78"/>
        <v>0</v>
      </c>
      <c r="DG283" s="52"/>
      <c r="DH283" s="43"/>
      <c r="DI283" s="50">
        <f t="shared" si="79"/>
        <v>6628.0433333333322</v>
      </c>
      <c r="DK283" s="52"/>
      <c r="DL283" s="43"/>
      <c r="DM283" s="50">
        <f t="shared" si="80"/>
        <v>4432.51</v>
      </c>
      <c r="DO283" s="52"/>
      <c r="DP283" s="43"/>
      <c r="DQ283" s="50">
        <f t="shared" si="81"/>
        <v>7995.9800000000032</v>
      </c>
      <c r="DT283" s="52"/>
      <c r="DU283" s="43"/>
      <c r="DV283" s="50">
        <f t="shared" si="82"/>
        <v>518.17000000000007</v>
      </c>
      <c r="DX283" s="52"/>
      <c r="DY283" s="43"/>
      <c r="DZ283" s="53">
        <f t="shared" si="83"/>
        <v>617.75</v>
      </c>
      <c r="EB283" s="52"/>
      <c r="EC283" s="43"/>
      <c r="ED283" s="53">
        <f t="shared" si="84"/>
        <v>500</v>
      </c>
      <c r="EF283" s="52"/>
      <c r="EG283" s="43"/>
      <c r="EH283" s="53">
        <f t="shared" si="85"/>
        <v>1048.04</v>
      </c>
      <c r="EJ283" s="65"/>
      <c r="EK283" s="7"/>
      <c r="EL283" s="53">
        <f t="shared" si="86"/>
        <v>25.299999999999997</v>
      </c>
      <c r="EN283" s="51">
        <f t="shared" si="87"/>
        <v>-804.78333333331079</v>
      </c>
      <c r="EP283" s="60">
        <f t="shared" si="88"/>
        <v>0</v>
      </c>
      <c r="EQ283" s="61">
        <f t="shared" si="89"/>
        <v>0</v>
      </c>
      <c r="ER283" s="15">
        <f t="shared" si="90"/>
        <v>0</v>
      </c>
      <c r="ES283" s="62">
        <f t="shared" si="91"/>
        <v>0</v>
      </c>
      <c r="EU283" s="6">
        <v>276</v>
      </c>
    </row>
    <row r="284" spans="1:151" x14ac:dyDescent="0.45">
      <c r="A284" s="9">
        <v>45716</v>
      </c>
      <c r="B284" t="s">
        <v>978</v>
      </c>
      <c r="C284" s="4" t="s">
        <v>633</v>
      </c>
      <c r="D284" s="7"/>
      <c r="E284">
        <v>28.8</v>
      </c>
      <c r="F284" s="43"/>
      <c r="G284" s="16">
        <f t="shared" si="77"/>
        <v>20989.810000000023</v>
      </c>
      <c r="H284" s="64" t="s">
        <v>625</v>
      </c>
      <c r="I284" s="52"/>
      <c r="J284" s="43"/>
      <c r="K284" s="43"/>
      <c r="L284" s="43"/>
      <c r="M284" s="43"/>
      <c r="N284" s="43"/>
      <c r="O284" s="43"/>
      <c r="P284" s="43"/>
      <c r="Q284" s="43"/>
      <c r="R284" s="43"/>
      <c r="S284" s="43"/>
      <c r="T284" s="43"/>
      <c r="U284" s="43"/>
      <c r="V284" s="43"/>
      <c r="W284" s="43"/>
      <c r="X284" s="43"/>
      <c r="Y284" s="43">
        <v>28.8</v>
      </c>
      <c r="Z284" s="43"/>
      <c r="AA284" s="43"/>
      <c r="AB284" s="43"/>
      <c r="AC284" s="43"/>
      <c r="AD284" s="43"/>
      <c r="AE284" s="43"/>
      <c r="AF284" s="43"/>
      <c r="AG284" s="43"/>
      <c r="AH284" s="43"/>
      <c r="AI284" s="43"/>
      <c r="AJ284" s="43"/>
      <c r="AK284" s="43"/>
      <c r="AL284" s="43"/>
      <c r="AM284" s="43"/>
      <c r="AN284" s="43"/>
      <c r="AO284" s="43"/>
      <c r="AP284" s="43"/>
      <c r="AQ284" s="43"/>
      <c r="AR284" s="53"/>
      <c r="AS284" s="52"/>
      <c r="AT284" s="43"/>
      <c r="AU284" s="43"/>
      <c r="AV284" s="43"/>
      <c r="AW284" s="43"/>
      <c r="AX284" s="43"/>
      <c r="AY284" s="43"/>
      <c r="AZ284" s="43"/>
      <c r="BA284" s="43"/>
      <c r="BB284" s="43"/>
      <c r="BC284" s="43"/>
      <c r="BD284" s="43"/>
      <c r="BE284" s="43"/>
      <c r="BF284" s="43"/>
      <c r="BG284" s="43"/>
      <c r="BH284" s="43"/>
      <c r="BI284" s="43"/>
      <c r="BJ284" s="43"/>
      <c r="BK284" s="43"/>
      <c r="BL284" s="43"/>
      <c r="BM284" s="43"/>
      <c r="BN284" s="43"/>
      <c r="BO284" s="43"/>
      <c r="BP284" s="43"/>
      <c r="BQ284" s="43"/>
      <c r="BR284" s="43"/>
      <c r="BS284" s="43"/>
      <c r="BT284" s="43"/>
      <c r="BU284" s="43"/>
      <c r="BV284" s="43"/>
      <c r="BW284" s="53"/>
      <c r="BX284" s="30">
        <f t="shared" si="75"/>
        <v>0</v>
      </c>
      <c r="BY284" s="52">
        <f t="shared" si="76"/>
        <v>0</v>
      </c>
      <c r="BZ284" s="48">
        <f>E284</f>
        <v>28.8</v>
      </c>
      <c r="CA284" s="43"/>
      <c r="CB284" s="43"/>
      <c r="CC284" s="43"/>
      <c r="CD284" s="43"/>
      <c r="CE284" s="43"/>
      <c r="CF284" s="43"/>
      <c r="CG284" s="53"/>
      <c r="CH284" s="52"/>
      <c r="CI284" s="43"/>
      <c r="CJ284" s="43"/>
      <c r="CK284" s="43"/>
      <c r="CL284" s="43"/>
      <c r="CM284" s="43"/>
      <c r="CN284" s="43"/>
      <c r="CO284" s="43"/>
      <c r="CP284" s="43"/>
      <c r="CQ284" s="43"/>
      <c r="CR284" s="43"/>
      <c r="CS284" s="43"/>
      <c r="CT284" s="43"/>
      <c r="CU284" s="43"/>
      <c r="CV284" s="43"/>
      <c r="CW284" s="43"/>
      <c r="CX284" s="43"/>
      <c r="CY284" s="43"/>
      <c r="CZ284" s="7"/>
      <c r="DA284" s="7"/>
      <c r="DB284" s="43"/>
      <c r="DC284" s="43"/>
      <c r="DD284" s="53"/>
      <c r="DE284" s="73">
        <f t="shared" si="78"/>
        <v>0</v>
      </c>
      <c r="DG284" s="52"/>
      <c r="DH284" s="43"/>
      <c r="DI284" s="50">
        <f t="shared" si="79"/>
        <v>6628.0433333333322</v>
      </c>
      <c r="DK284" s="52"/>
      <c r="DL284" s="43"/>
      <c r="DM284" s="50">
        <f t="shared" si="80"/>
        <v>4432.51</v>
      </c>
      <c r="DO284" s="52"/>
      <c r="DP284" s="43"/>
      <c r="DQ284" s="50">
        <f t="shared" si="81"/>
        <v>7995.9800000000032</v>
      </c>
      <c r="DT284" s="52"/>
      <c r="DU284" s="43"/>
      <c r="DV284" s="50">
        <f t="shared" si="82"/>
        <v>518.17000000000007</v>
      </c>
      <c r="DX284" s="52"/>
      <c r="DY284" s="43"/>
      <c r="DZ284" s="53">
        <f t="shared" si="83"/>
        <v>617.75</v>
      </c>
      <c r="EB284" s="52"/>
      <c r="EC284" s="43"/>
      <c r="ED284" s="53">
        <f t="shared" si="84"/>
        <v>500</v>
      </c>
      <c r="EF284" s="52"/>
      <c r="EG284" s="43"/>
      <c r="EH284" s="53">
        <f t="shared" si="85"/>
        <v>1048.04</v>
      </c>
      <c r="EJ284" s="65"/>
      <c r="EK284" s="7"/>
      <c r="EL284" s="53">
        <f t="shared" si="86"/>
        <v>25.299999999999997</v>
      </c>
      <c r="EN284" s="51">
        <f t="shared" si="87"/>
        <v>-775.98333333331152</v>
      </c>
      <c r="EP284" s="60">
        <f t="shared" si="88"/>
        <v>0</v>
      </c>
      <c r="EQ284" s="61">
        <f t="shared" si="89"/>
        <v>0</v>
      </c>
      <c r="ER284" s="15">
        <f t="shared" si="90"/>
        <v>0</v>
      </c>
      <c r="ES284" s="163">
        <f t="shared" si="91"/>
        <v>0</v>
      </c>
      <c r="EU284">
        <v>277</v>
      </c>
    </row>
    <row r="285" spans="1:151" x14ac:dyDescent="0.45">
      <c r="A285" s="9">
        <v>45719</v>
      </c>
      <c r="B285" t="s">
        <v>979</v>
      </c>
      <c r="C285" s="4" t="s">
        <v>633</v>
      </c>
      <c r="D285" s="7"/>
      <c r="E285">
        <v>14.4</v>
      </c>
      <c r="F285" s="43"/>
      <c r="G285" s="16">
        <f t="shared" si="77"/>
        <v>21004.210000000025</v>
      </c>
      <c r="H285" s="64" t="s">
        <v>625</v>
      </c>
      <c r="I285" s="52"/>
      <c r="J285" s="43"/>
      <c r="K285" s="43"/>
      <c r="L285" s="43"/>
      <c r="M285" s="43"/>
      <c r="N285" s="43"/>
      <c r="O285" s="43"/>
      <c r="P285" s="43"/>
      <c r="Q285" s="43"/>
      <c r="R285" s="43"/>
      <c r="S285" s="43"/>
      <c r="T285" s="43"/>
      <c r="U285" s="43"/>
      <c r="V285" s="43"/>
      <c r="W285" s="43"/>
      <c r="X285" s="43"/>
      <c r="Y285" s="43">
        <v>14.4</v>
      </c>
      <c r="Z285" s="43"/>
      <c r="AA285" s="43"/>
      <c r="AB285" s="43"/>
      <c r="AC285" s="43"/>
      <c r="AD285" s="43"/>
      <c r="AE285" s="43"/>
      <c r="AF285" s="43"/>
      <c r="AG285" s="43"/>
      <c r="AH285" s="43"/>
      <c r="AI285" s="43"/>
      <c r="AJ285" s="43"/>
      <c r="AK285" s="43"/>
      <c r="AL285" s="43"/>
      <c r="AM285" s="43"/>
      <c r="AN285" s="43"/>
      <c r="AO285" s="43"/>
      <c r="AP285" s="43"/>
      <c r="AQ285" s="43"/>
      <c r="AR285" s="53"/>
      <c r="AS285" s="52"/>
      <c r="AT285" s="43"/>
      <c r="AU285" s="43"/>
      <c r="AV285" s="43"/>
      <c r="AW285" s="43"/>
      <c r="AX285" s="43"/>
      <c r="AY285" s="43"/>
      <c r="AZ285" s="43"/>
      <c r="BA285" s="43"/>
      <c r="BB285" s="43"/>
      <c r="BC285" s="43"/>
      <c r="BD285" s="43"/>
      <c r="BE285" s="43"/>
      <c r="BF285" s="43"/>
      <c r="BG285" s="43"/>
      <c r="BH285" s="43"/>
      <c r="BI285" s="43"/>
      <c r="BJ285" s="43"/>
      <c r="BK285" s="43"/>
      <c r="BL285" s="43"/>
      <c r="BM285" s="43"/>
      <c r="BN285" s="43"/>
      <c r="BO285" s="43"/>
      <c r="BP285" s="43"/>
      <c r="BQ285" s="43"/>
      <c r="BR285" s="43"/>
      <c r="BS285" s="43"/>
      <c r="BT285" s="43"/>
      <c r="BU285" s="43"/>
      <c r="BV285" s="43"/>
      <c r="BW285" s="53"/>
      <c r="BX285" s="30">
        <f t="shared" si="75"/>
        <v>0</v>
      </c>
      <c r="BY285" s="52">
        <f t="shared" si="76"/>
        <v>0</v>
      </c>
      <c r="BZ285" s="48">
        <f>E285</f>
        <v>14.4</v>
      </c>
      <c r="CA285" s="43"/>
      <c r="CB285" s="43"/>
      <c r="CC285" s="43"/>
      <c r="CD285" s="43"/>
      <c r="CE285" s="43"/>
      <c r="CF285" s="43"/>
      <c r="CG285" s="53"/>
      <c r="CH285" s="52"/>
      <c r="CI285" s="43"/>
      <c r="CJ285" s="43"/>
      <c r="CK285" s="43"/>
      <c r="CL285" s="43"/>
      <c r="CM285" s="43"/>
      <c r="CN285" s="43"/>
      <c r="CO285" s="43"/>
      <c r="CP285" s="43"/>
      <c r="CQ285" s="43"/>
      <c r="CR285" s="43"/>
      <c r="CS285" s="43"/>
      <c r="CT285" s="43"/>
      <c r="CU285" s="43"/>
      <c r="CV285" s="43"/>
      <c r="CW285" s="43"/>
      <c r="CX285" s="43"/>
      <c r="CY285" s="43"/>
      <c r="CZ285" s="7"/>
      <c r="DA285" s="7"/>
      <c r="DB285" s="43"/>
      <c r="DC285" s="43"/>
      <c r="DD285" s="53"/>
      <c r="DE285" s="73">
        <f t="shared" si="78"/>
        <v>0</v>
      </c>
      <c r="DG285" s="52"/>
      <c r="DH285" s="43"/>
      <c r="DI285" s="50">
        <f t="shared" si="79"/>
        <v>6628.0433333333322</v>
      </c>
      <c r="DK285" s="52"/>
      <c r="DL285" s="43"/>
      <c r="DM285" s="50">
        <f t="shared" si="80"/>
        <v>4432.51</v>
      </c>
      <c r="DO285" s="52"/>
      <c r="DP285" s="43"/>
      <c r="DQ285" s="50">
        <f t="shared" si="81"/>
        <v>7995.9800000000032</v>
      </c>
      <c r="DT285" s="52"/>
      <c r="DU285" s="43"/>
      <c r="DV285" s="50">
        <f t="shared" si="82"/>
        <v>518.17000000000007</v>
      </c>
      <c r="DX285" s="52"/>
      <c r="DY285" s="43"/>
      <c r="DZ285" s="53">
        <f t="shared" si="83"/>
        <v>617.75</v>
      </c>
      <c r="EB285" s="52"/>
      <c r="EC285" s="43"/>
      <c r="ED285" s="53">
        <f t="shared" si="84"/>
        <v>500</v>
      </c>
      <c r="EF285" s="52"/>
      <c r="EG285" s="43"/>
      <c r="EH285" s="53">
        <f t="shared" si="85"/>
        <v>1048.04</v>
      </c>
      <c r="EJ285" s="65"/>
      <c r="EK285" s="7"/>
      <c r="EL285" s="53">
        <f t="shared" si="86"/>
        <v>25.299999999999997</v>
      </c>
      <c r="EN285" s="51">
        <f t="shared" si="87"/>
        <v>-761.58333333331007</v>
      </c>
      <c r="EP285" s="60">
        <f t="shared" si="88"/>
        <v>0</v>
      </c>
      <c r="EQ285" s="61">
        <f t="shared" si="89"/>
        <v>0</v>
      </c>
      <c r="ER285" s="15">
        <f t="shared" si="90"/>
        <v>0</v>
      </c>
      <c r="ES285" s="62">
        <f t="shared" si="91"/>
        <v>0</v>
      </c>
      <c r="EU285" s="6">
        <v>278</v>
      </c>
    </row>
    <row r="286" spans="1:151" x14ac:dyDescent="0.45">
      <c r="A286" s="9">
        <v>45719</v>
      </c>
      <c r="B286" t="s">
        <v>980</v>
      </c>
      <c r="C286" s="4" t="s">
        <v>633</v>
      </c>
      <c r="D286" s="7"/>
      <c r="E286">
        <v>34.44</v>
      </c>
      <c r="F286" s="43"/>
      <c r="G286" s="16">
        <f t="shared" si="77"/>
        <v>21038.650000000023</v>
      </c>
      <c r="H286" s="64" t="s">
        <v>625</v>
      </c>
      <c r="I286" s="52"/>
      <c r="J286" s="43"/>
      <c r="K286" s="43"/>
      <c r="L286" s="43"/>
      <c r="M286" s="43"/>
      <c r="N286" s="43"/>
      <c r="O286" s="43"/>
      <c r="P286" s="43"/>
      <c r="Q286" s="43"/>
      <c r="R286" s="43"/>
      <c r="S286" s="43"/>
      <c r="T286" s="43"/>
      <c r="U286" s="43"/>
      <c r="V286" s="43"/>
      <c r="W286" s="43"/>
      <c r="X286" s="43">
        <v>34.44</v>
      </c>
      <c r="Y286" s="43"/>
      <c r="Z286" s="43"/>
      <c r="AA286" s="43"/>
      <c r="AB286" s="43"/>
      <c r="AC286" s="43"/>
      <c r="AD286" s="43"/>
      <c r="AE286" s="43"/>
      <c r="AF286" s="43"/>
      <c r="AG286" s="43"/>
      <c r="AH286" s="43"/>
      <c r="AI286" s="43"/>
      <c r="AJ286" s="43"/>
      <c r="AK286" s="43"/>
      <c r="AL286" s="43"/>
      <c r="AM286" s="43"/>
      <c r="AN286" s="43"/>
      <c r="AO286" s="43"/>
      <c r="AP286" s="43"/>
      <c r="AQ286" s="43"/>
      <c r="AR286" s="53"/>
      <c r="AS286" s="52"/>
      <c r="AT286" s="43"/>
      <c r="AU286" s="43"/>
      <c r="AV286" s="43"/>
      <c r="AW286" s="43"/>
      <c r="AX286" s="43"/>
      <c r="AY286" s="43"/>
      <c r="AZ286" s="43"/>
      <c r="BA286" s="43"/>
      <c r="BB286" s="43"/>
      <c r="BC286" s="43"/>
      <c r="BD286" s="43"/>
      <c r="BE286" s="43"/>
      <c r="BF286" s="43"/>
      <c r="BG286" s="43"/>
      <c r="BH286" s="43"/>
      <c r="BI286" s="43"/>
      <c r="BJ286" s="43"/>
      <c r="BK286" s="43"/>
      <c r="BL286" s="43"/>
      <c r="BM286" s="43"/>
      <c r="BN286" s="43"/>
      <c r="BO286" s="43"/>
      <c r="BP286" s="43"/>
      <c r="BQ286" s="43"/>
      <c r="BR286" s="43"/>
      <c r="BS286" s="43"/>
      <c r="BT286" s="43"/>
      <c r="BU286" s="43"/>
      <c r="BV286" s="43"/>
      <c r="BW286" s="53"/>
      <c r="BX286" s="30">
        <f t="shared" si="75"/>
        <v>0</v>
      </c>
      <c r="BY286" s="52">
        <f t="shared" si="76"/>
        <v>0</v>
      </c>
      <c r="BZ286" s="48">
        <f>E286</f>
        <v>34.44</v>
      </c>
      <c r="CA286" s="43"/>
      <c r="CB286" s="43"/>
      <c r="CC286" s="43"/>
      <c r="CD286" s="43"/>
      <c r="CE286" s="43"/>
      <c r="CF286" s="43"/>
      <c r="CG286" s="53"/>
      <c r="CH286" s="52"/>
      <c r="CI286" s="43"/>
      <c r="CJ286" s="43"/>
      <c r="CK286" s="43"/>
      <c r="CL286" s="43"/>
      <c r="CM286" s="43"/>
      <c r="CN286" s="43"/>
      <c r="CO286" s="43"/>
      <c r="CP286" s="43"/>
      <c r="CQ286" s="43"/>
      <c r="CR286" s="43"/>
      <c r="CS286" s="43"/>
      <c r="CT286" s="43"/>
      <c r="CU286" s="43"/>
      <c r="CV286" s="43"/>
      <c r="CW286" s="43"/>
      <c r="CX286" s="43"/>
      <c r="CY286" s="43"/>
      <c r="CZ286" s="7"/>
      <c r="DA286" s="7"/>
      <c r="DB286" s="43"/>
      <c r="DC286" s="43"/>
      <c r="DD286" s="53"/>
      <c r="DE286" s="73">
        <f t="shared" si="78"/>
        <v>0</v>
      </c>
      <c r="DG286" s="52"/>
      <c r="DH286" s="43"/>
      <c r="DI286" s="50">
        <f t="shared" si="79"/>
        <v>6628.0433333333322</v>
      </c>
      <c r="DK286" s="52"/>
      <c r="DL286" s="43"/>
      <c r="DM286" s="50">
        <f t="shared" si="80"/>
        <v>4432.51</v>
      </c>
      <c r="DO286" s="52"/>
      <c r="DP286" s="43"/>
      <c r="DQ286" s="50">
        <f t="shared" si="81"/>
        <v>7995.9800000000032</v>
      </c>
      <c r="DT286" s="52"/>
      <c r="DU286" s="43"/>
      <c r="DV286" s="50">
        <f t="shared" si="82"/>
        <v>518.17000000000007</v>
      </c>
      <c r="DX286" s="52"/>
      <c r="DY286" s="43"/>
      <c r="DZ286" s="53">
        <f t="shared" si="83"/>
        <v>617.75</v>
      </c>
      <c r="EB286" s="52"/>
      <c r="EC286" s="43"/>
      <c r="ED286" s="53">
        <f t="shared" si="84"/>
        <v>500</v>
      </c>
      <c r="EF286" s="52"/>
      <c r="EG286" s="43"/>
      <c r="EH286" s="53">
        <f t="shared" si="85"/>
        <v>1048.04</v>
      </c>
      <c r="EJ286" s="65"/>
      <c r="EK286" s="7"/>
      <c r="EL286" s="53">
        <f t="shared" si="86"/>
        <v>25.299999999999997</v>
      </c>
      <c r="EN286" s="51">
        <f t="shared" si="87"/>
        <v>-727.14333333331138</v>
      </c>
      <c r="EP286" s="60">
        <f t="shared" si="88"/>
        <v>0</v>
      </c>
      <c r="EQ286" s="61">
        <f t="shared" si="89"/>
        <v>0</v>
      </c>
      <c r="ER286" s="15">
        <f t="shared" si="90"/>
        <v>0</v>
      </c>
      <c r="ES286" s="163">
        <f t="shared" si="91"/>
        <v>0</v>
      </c>
      <c r="EU286">
        <v>279</v>
      </c>
    </row>
    <row r="287" spans="1:151" x14ac:dyDescent="0.45">
      <c r="A287" s="9">
        <v>45720</v>
      </c>
      <c r="B287" t="s">
        <v>981</v>
      </c>
      <c r="C287" s="4" t="s">
        <v>633</v>
      </c>
      <c r="D287" s="7"/>
      <c r="E287">
        <v>10</v>
      </c>
      <c r="F287" s="43"/>
      <c r="G287" s="16">
        <f t="shared" si="77"/>
        <v>21048.650000000023</v>
      </c>
      <c r="H287" s="64" t="s">
        <v>625</v>
      </c>
      <c r="I287" s="52"/>
      <c r="J287" s="43"/>
      <c r="K287" s="43"/>
      <c r="L287" s="43"/>
      <c r="M287" s="43"/>
      <c r="N287" s="43"/>
      <c r="O287" s="43"/>
      <c r="P287" s="43"/>
      <c r="Q287" s="43"/>
      <c r="R287" s="43"/>
      <c r="S287" s="43"/>
      <c r="T287" s="43"/>
      <c r="U287" s="43"/>
      <c r="V287" s="43"/>
      <c r="W287" s="43"/>
      <c r="X287" s="43"/>
      <c r="Y287" s="43"/>
      <c r="Z287" s="43"/>
      <c r="AA287" s="43"/>
      <c r="AB287" s="43"/>
      <c r="AC287" s="43"/>
      <c r="AD287" s="43"/>
      <c r="AE287" s="43"/>
      <c r="AF287" s="43"/>
      <c r="AG287" s="43"/>
      <c r="AH287" s="43"/>
      <c r="AI287" s="43"/>
      <c r="AJ287" s="43"/>
      <c r="AK287" s="43"/>
      <c r="AL287" s="43">
        <v>10</v>
      </c>
      <c r="AM287" s="43"/>
      <c r="AN287" s="43"/>
      <c r="AO287" s="43"/>
      <c r="AP287" s="43"/>
      <c r="AQ287" s="43"/>
      <c r="AR287" s="53"/>
      <c r="AS287" s="52"/>
      <c r="AT287" s="43"/>
      <c r="AU287" s="43"/>
      <c r="AV287" s="43"/>
      <c r="AW287" s="43"/>
      <c r="AX287" s="43"/>
      <c r="AY287" s="43"/>
      <c r="AZ287" s="43"/>
      <c r="BA287" s="43"/>
      <c r="BB287" s="43"/>
      <c r="BC287" s="43"/>
      <c r="BD287" s="43"/>
      <c r="BE287" s="43"/>
      <c r="BF287" s="43"/>
      <c r="BG287" s="43"/>
      <c r="BH287" s="43"/>
      <c r="BI287" s="43"/>
      <c r="BJ287" s="43"/>
      <c r="BK287" s="43"/>
      <c r="BL287" s="43"/>
      <c r="BM287" s="43"/>
      <c r="BN287" s="43"/>
      <c r="BO287" s="43"/>
      <c r="BP287" s="43"/>
      <c r="BQ287" s="43"/>
      <c r="BR287" s="43"/>
      <c r="BS287" s="43"/>
      <c r="BT287" s="43"/>
      <c r="BU287" s="43"/>
      <c r="BV287" s="43"/>
      <c r="BW287" s="53"/>
      <c r="BX287" s="30">
        <f t="shared" si="75"/>
        <v>0</v>
      </c>
      <c r="BY287" s="52">
        <f>E287</f>
        <v>10</v>
      </c>
      <c r="BZ287" s="48"/>
      <c r="CA287" s="43"/>
      <c r="CB287" s="43"/>
      <c r="CC287" s="43"/>
      <c r="CD287" s="43"/>
      <c r="CE287" s="43"/>
      <c r="CF287" s="43"/>
      <c r="CG287" s="53"/>
      <c r="CH287" s="52"/>
      <c r="CI287" s="43"/>
      <c r="CJ287" s="43"/>
      <c r="CK287" s="43"/>
      <c r="CL287" s="43"/>
      <c r="CM287" s="43"/>
      <c r="CN287" s="43"/>
      <c r="CO287" s="43"/>
      <c r="CP287" s="43"/>
      <c r="CQ287" s="43"/>
      <c r="CR287" s="43"/>
      <c r="CS287" s="43"/>
      <c r="CT287" s="43"/>
      <c r="CU287" s="43"/>
      <c r="CV287" s="43"/>
      <c r="CW287" s="43"/>
      <c r="CX287" s="43"/>
      <c r="CY287" s="43"/>
      <c r="CZ287" s="7"/>
      <c r="DA287" s="7"/>
      <c r="DB287" s="43"/>
      <c r="DC287" s="43"/>
      <c r="DD287" s="53"/>
      <c r="DE287" s="73">
        <f t="shared" si="78"/>
        <v>0</v>
      </c>
      <c r="DG287" s="52"/>
      <c r="DH287" s="43"/>
      <c r="DI287" s="50">
        <f t="shared" si="79"/>
        <v>6628.0433333333322</v>
      </c>
      <c r="DK287" s="52"/>
      <c r="DL287" s="43"/>
      <c r="DM287" s="50">
        <f t="shared" si="80"/>
        <v>4432.51</v>
      </c>
      <c r="DO287" s="52"/>
      <c r="DP287" s="43"/>
      <c r="DQ287" s="50">
        <f t="shared" si="81"/>
        <v>7995.9800000000032</v>
      </c>
      <c r="DT287" s="52"/>
      <c r="DU287" s="43"/>
      <c r="DV287" s="50">
        <f t="shared" si="82"/>
        <v>518.17000000000007</v>
      </c>
      <c r="DX287" s="52"/>
      <c r="DY287" s="43"/>
      <c r="DZ287" s="53">
        <f t="shared" si="83"/>
        <v>617.75</v>
      </c>
      <c r="EB287" s="52"/>
      <c r="EC287" s="43"/>
      <c r="ED287" s="53">
        <f t="shared" si="84"/>
        <v>500</v>
      </c>
      <c r="EF287" s="52"/>
      <c r="EG287" s="43"/>
      <c r="EH287" s="53">
        <f t="shared" si="85"/>
        <v>1048.04</v>
      </c>
      <c r="EJ287" s="65"/>
      <c r="EK287" s="7"/>
      <c r="EL287" s="53">
        <f t="shared" si="86"/>
        <v>25.299999999999997</v>
      </c>
      <c r="EN287" s="51">
        <f t="shared" si="87"/>
        <v>-717.14333333331138</v>
      </c>
      <c r="EP287" s="60">
        <f t="shared" si="88"/>
        <v>0</v>
      </c>
      <c r="EQ287" s="61">
        <f t="shared" si="89"/>
        <v>0</v>
      </c>
      <c r="ER287" s="15">
        <f t="shared" si="90"/>
        <v>0</v>
      </c>
      <c r="ES287" s="62">
        <f t="shared" si="91"/>
        <v>0</v>
      </c>
      <c r="EU287" s="6">
        <v>280</v>
      </c>
    </row>
    <row r="288" spans="1:151" x14ac:dyDescent="0.45">
      <c r="A288" s="9">
        <v>45720</v>
      </c>
      <c r="B288" t="s">
        <v>982</v>
      </c>
      <c r="C288" s="4" t="s">
        <v>633</v>
      </c>
      <c r="D288" s="7"/>
      <c r="E288">
        <v>326.93</v>
      </c>
      <c r="F288" s="43"/>
      <c r="G288" s="16">
        <f t="shared" si="77"/>
        <v>21375.580000000024</v>
      </c>
      <c r="H288" s="64" t="s">
        <v>625</v>
      </c>
      <c r="I288" s="52"/>
      <c r="J288" s="43"/>
      <c r="K288" s="43"/>
      <c r="L288" s="43"/>
      <c r="M288" s="43"/>
      <c r="N288" s="43"/>
      <c r="O288" s="43"/>
      <c r="P288" s="43"/>
      <c r="Q288" s="43"/>
      <c r="R288" s="43"/>
      <c r="S288" s="43"/>
      <c r="T288" s="43"/>
      <c r="U288" s="43"/>
      <c r="V288" s="43">
        <v>326.93</v>
      </c>
      <c r="W288" s="43"/>
      <c r="X288" s="43"/>
      <c r="Y288" s="43"/>
      <c r="Z288" s="43"/>
      <c r="AA288" s="43"/>
      <c r="AB288" s="43"/>
      <c r="AC288" s="43"/>
      <c r="AD288" s="43"/>
      <c r="AE288" s="43"/>
      <c r="AF288" s="43"/>
      <c r="AG288" s="43"/>
      <c r="AH288" s="43"/>
      <c r="AI288" s="43"/>
      <c r="AJ288" s="43"/>
      <c r="AK288" s="43"/>
      <c r="AL288" s="43"/>
      <c r="AM288" s="43"/>
      <c r="AN288" s="43"/>
      <c r="AO288" s="43"/>
      <c r="AP288" s="43"/>
      <c r="AQ288" s="43"/>
      <c r="AR288" s="53"/>
      <c r="AS288" s="52"/>
      <c r="AT288" s="43"/>
      <c r="AU288" s="43"/>
      <c r="AV288" s="43"/>
      <c r="AW288" s="43"/>
      <c r="AX288" s="43"/>
      <c r="AY288" s="43"/>
      <c r="AZ288" s="43"/>
      <c r="BA288" s="43"/>
      <c r="BB288" s="43"/>
      <c r="BC288" s="43"/>
      <c r="BD288" s="43"/>
      <c r="BE288" s="43"/>
      <c r="BF288" s="43"/>
      <c r="BG288" s="43"/>
      <c r="BH288" s="43"/>
      <c r="BI288" s="43"/>
      <c r="BJ288" s="43"/>
      <c r="BK288" s="43"/>
      <c r="BL288" s="43"/>
      <c r="BM288" s="43"/>
      <c r="BN288" s="43"/>
      <c r="BO288" s="43"/>
      <c r="BP288" s="43"/>
      <c r="BQ288" s="43"/>
      <c r="BR288" s="43"/>
      <c r="BS288" s="43"/>
      <c r="BT288" s="43"/>
      <c r="BU288" s="43"/>
      <c r="BV288" s="43"/>
      <c r="BW288" s="53"/>
      <c r="BX288" s="30">
        <f t="shared" si="75"/>
        <v>0</v>
      </c>
      <c r="BY288" s="52">
        <f>E288</f>
        <v>326.93</v>
      </c>
      <c r="BZ288" s="48"/>
      <c r="CA288" s="43"/>
      <c r="CB288" s="43"/>
      <c r="CC288" s="43"/>
      <c r="CD288" s="43"/>
      <c r="CE288" s="43"/>
      <c r="CF288" s="43"/>
      <c r="CG288" s="53"/>
      <c r="CH288" s="52"/>
      <c r="CI288" s="43"/>
      <c r="CJ288" s="43"/>
      <c r="CK288" s="43"/>
      <c r="CL288" s="43"/>
      <c r="CM288" s="43"/>
      <c r="CN288" s="43"/>
      <c r="CO288" s="43"/>
      <c r="CP288" s="43"/>
      <c r="CQ288" s="43"/>
      <c r="CR288" s="43"/>
      <c r="CS288" s="43"/>
      <c r="CT288" s="43"/>
      <c r="CU288" s="43"/>
      <c r="CV288" s="43"/>
      <c r="CW288" s="43"/>
      <c r="CX288" s="43"/>
      <c r="CY288" s="43"/>
      <c r="CZ288" s="7"/>
      <c r="DA288" s="7"/>
      <c r="DB288" s="43"/>
      <c r="DC288" s="43"/>
      <c r="DD288" s="53"/>
      <c r="DE288" s="73">
        <f t="shared" si="78"/>
        <v>0</v>
      </c>
      <c r="DG288" s="52"/>
      <c r="DH288" s="43"/>
      <c r="DI288" s="50">
        <f t="shared" si="79"/>
        <v>6628.0433333333322</v>
      </c>
      <c r="DK288" s="52"/>
      <c r="DL288" s="43"/>
      <c r="DM288" s="50">
        <f t="shared" si="80"/>
        <v>4432.51</v>
      </c>
      <c r="DO288" s="52"/>
      <c r="DP288" s="43"/>
      <c r="DQ288" s="50">
        <f t="shared" si="81"/>
        <v>7995.9800000000032</v>
      </c>
      <c r="DT288" s="52"/>
      <c r="DU288" s="43"/>
      <c r="DV288" s="50">
        <f t="shared" si="82"/>
        <v>518.17000000000007</v>
      </c>
      <c r="DX288" s="52"/>
      <c r="DY288" s="43"/>
      <c r="DZ288" s="53">
        <f t="shared" si="83"/>
        <v>617.75</v>
      </c>
      <c r="EB288" s="52"/>
      <c r="EC288" s="43"/>
      <c r="ED288" s="53">
        <f t="shared" si="84"/>
        <v>500</v>
      </c>
      <c r="EF288" s="52"/>
      <c r="EG288" s="43"/>
      <c r="EH288" s="53">
        <f t="shared" si="85"/>
        <v>1048.04</v>
      </c>
      <c r="EJ288" s="65"/>
      <c r="EK288" s="7"/>
      <c r="EL288" s="53">
        <f t="shared" si="86"/>
        <v>25.299999999999997</v>
      </c>
      <c r="EN288" s="51">
        <f t="shared" si="87"/>
        <v>-390.21333333331114</v>
      </c>
      <c r="EP288" s="60">
        <f t="shared" si="88"/>
        <v>0</v>
      </c>
      <c r="EQ288" s="61">
        <f t="shared" si="89"/>
        <v>0</v>
      </c>
      <c r="ER288" s="15">
        <f t="shared" si="90"/>
        <v>0</v>
      </c>
      <c r="ES288" s="163">
        <f t="shared" si="91"/>
        <v>0</v>
      </c>
      <c r="EU288">
        <v>281</v>
      </c>
    </row>
    <row r="289" spans="1:151" s="74" customFormat="1" x14ac:dyDescent="0.45">
      <c r="A289" s="9">
        <v>45720</v>
      </c>
      <c r="B289" t="s">
        <v>983</v>
      </c>
      <c r="C289" s="4" t="s">
        <v>633</v>
      </c>
      <c r="D289" s="7"/>
      <c r="E289" s="7">
        <v>160.72</v>
      </c>
      <c r="F289" s="43"/>
      <c r="G289" s="16">
        <f t="shared" si="77"/>
        <v>21536.300000000025</v>
      </c>
      <c r="H289" s="64" t="s">
        <v>625</v>
      </c>
      <c r="I289" s="52"/>
      <c r="J289" s="43"/>
      <c r="K289" s="43"/>
      <c r="L289" s="43"/>
      <c r="M289" s="43"/>
      <c r="N289" s="43"/>
      <c r="O289" s="43"/>
      <c r="P289" s="43"/>
      <c r="Q289" s="43"/>
      <c r="R289" s="43"/>
      <c r="S289" s="43"/>
      <c r="T289" s="43"/>
      <c r="U289" s="43"/>
      <c r="V289" s="43"/>
      <c r="W289" s="43"/>
      <c r="X289" s="43">
        <v>160.72</v>
      </c>
      <c r="Y289" s="43"/>
      <c r="Z289" s="43"/>
      <c r="AA289" s="43"/>
      <c r="AB289" s="43"/>
      <c r="AC289" s="43"/>
      <c r="AD289" s="43"/>
      <c r="AE289" s="43"/>
      <c r="AF289" s="43"/>
      <c r="AG289" s="43"/>
      <c r="AH289" s="43"/>
      <c r="AI289" s="43"/>
      <c r="AJ289" s="43"/>
      <c r="AK289" s="43"/>
      <c r="AL289" s="43"/>
      <c r="AM289" s="43"/>
      <c r="AN289" s="43"/>
      <c r="AO289" s="43"/>
      <c r="AP289" s="43"/>
      <c r="AQ289" s="43"/>
      <c r="AR289" s="53"/>
      <c r="AS289" s="52"/>
      <c r="AT289" s="43"/>
      <c r="AU289" s="43"/>
      <c r="AV289" s="43"/>
      <c r="AW289" s="43"/>
      <c r="AX289" s="43"/>
      <c r="AY289" s="43"/>
      <c r="AZ289" s="43"/>
      <c r="BA289" s="43"/>
      <c r="BB289" s="43"/>
      <c r="BC289" s="43"/>
      <c r="BD289" s="43"/>
      <c r="BE289" s="43"/>
      <c r="BF289" s="43"/>
      <c r="BG289" s="43"/>
      <c r="BH289" s="43"/>
      <c r="BI289" s="43"/>
      <c r="BJ289" s="43"/>
      <c r="BK289" s="43"/>
      <c r="BL289" s="43"/>
      <c r="BM289" s="43"/>
      <c r="BN289" s="43"/>
      <c r="BO289" s="43"/>
      <c r="BP289" s="43"/>
      <c r="BQ289" s="43"/>
      <c r="BR289" s="43"/>
      <c r="BS289" s="43"/>
      <c r="BT289" s="43"/>
      <c r="BU289" s="43"/>
      <c r="BV289" s="43"/>
      <c r="BW289" s="53"/>
      <c r="BX289" s="30">
        <f t="shared" si="75"/>
        <v>0</v>
      </c>
      <c r="BY289" s="52">
        <f t="shared" ref="BY289:BY300" si="92">SUM(I289:M289)</f>
        <v>0</v>
      </c>
      <c r="BZ289" s="48">
        <f>E289</f>
        <v>160.72</v>
      </c>
      <c r="CA289" s="43"/>
      <c r="CB289" s="43"/>
      <c r="CC289" s="43"/>
      <c r="CD289" s="43"/>
      <c r="CE289" s="43"/>
      <c r="CF289" s="43"/>
      <c r="CG289" s="53"/>
      <c r="CH289" s="52"/>
      <c r="CI289" s="43"/>
      <c r="CJ289" s="43"/>
      <c r="CK289" s="43"/>
      <c r="CL289" s="43"/>
      <c r="CM289" s="43"/>
      <c r="CN289" s="43"/>
      <c r="CO289" s="43"/>
      <c r="CP289" s="43"/>
      <c r="CQ289" s="43"/>
      <c r="CR289" s="43"/>
      <c r="CS289" s="43"/>
      <c r="CT289" s="43"/>
      <c r="CU289" s="43"/>
      <c r="CV289" s="43"/>
      <c r="CW289" s="43"/>
      <c r="CX289" s="43"/>
      <c r="CY289" s="43"/>
      <c r="CZ289" s="7"/>
      <c r="DA289" s="7"/>
      <c r="DB289" s="43"/>
      <c r="DC289" s="43"/>
      <c r="DD289" s="53"/>
      <c r="DE289" s="73">
        <f t="shared" si="78"/>
        <v>0</v>
      </c>
      <c r="DF289" s="15"/>
      <c r="DG289" s="52"/>
      <c r="DH289" s="43"/>
      <c r="DI289" s="50">
        <f t="shared" si="79"/>
        <v>6628.0433333333322</v>
      </c>
      <c r="DJ289" s="15"/>
      <c r="DK289" s="52"/>
      <c r="DL289" s="43"/>
      <c r="DM289" s="50">
        <f t="shared" si="80"/>
        <v>4432.51</v>
      </c>
      <c r="DN289" s="15"/>
      <c r="DO289" s="52"/>
      <c r="DP289" s="43"/>
      <c r="DQ289" s="50">
        <f t="shared" si="81"/>
        <v>7995.9800000000032</v>
      </c>
      <c r="DR289" s="15"/>
      <c r="DS289" s="15"/>
      <c r="DT289" s="52"/>
      <c r="DU289" s="43"/>
      <c r="DV289" s="50">
        <f t="shared" si="82"/>
        <v>518.17000000000007</v>
      </c>
      <c r="DW289" s="15"/>
      <c r="DX289" s="52"/>
      <c r="DY289" s="43"/>
      <c r="DZ289" s="53">
        <f t="shared" si="83"/>
        <v>617.75</v>
      </c>
      <c r="EA289" s="15"/>
      <c r="EB289" s="52"/>
      <c r="EC289" s="43"/>
      <c r="ED289" s="53">
        <f t="shared" si="84"/>
        <v>500</v>
      </c>
      <c r="EE289" s="15"/>
      <c r="EF289" s="52"/>
      <c r="EG289" s="43"/>
      <c r="EH289" s="53">
        <f t="shared" si="85"/>
        <v>1048.04</v>
      </c>
      <c r="EI289"/>
      <c r="EJ289" s="65"/>
      <c r="EK289" s="7"/>
      <c r="EL289" s="53">
        <f t="shared" si="86"/>
        <v>25.299999999999997</v>
      </c>
      <c r="EM289"/>
      <c r="EN289" s="51">
        <f t="shared" si="87"/>
        <v>-229.49333333330998</v>
      </c>
      <c r="EO289"/>
      <c r="EP289" s="60">
        <f t="shared" si="88"/>
        <v>0</v>
      </c>
      <c r="EQ289" s="61">
        <f t="shared" si="89"/>
        <v>0</v>
      </c>
      <c r="ER289" s="15">
        <f t="shared" si="90"/>
        <v>0</v>
      </c>
      <c r="ES289" s="62">
        <f t="shared" si="91"/>
        <v>0</v>
      </c>
      <c r="ET289"/>
      <c r="EU289" s="6">
        <v>282</v>
      </c>
    </row>
    <row r="290" spans="1:151" x14ac:dyDescent="0.45">
      <c r="A290" s="9">
        <v>45721</v>
      </c>
      <c r="B290" t="s">
        <v>985</v>
      </c>
      <c r="C290" s="4" t="s">
        <v>633</v>
      </c>
      <c r="D290" s="7"/>
      <c r="E290" s="43">
        <v>38.68</v>
      </c>
      <c r="F290" s="43"/>
      <c r="G290" s="16">
        <f t="shared" si="77"/>
        <v>21574.980000000025</v>
      </c>
      <c r="H290" s="64" t="s">
        <v>625</v>
      </c>
      <c r="I290" s="52"/>
      <c r="J290" s="43"/>
      <c r="K290" s="43"/>
      <c r="L290" s="43"/>
      <c r="M290" s="43"/>
      <c r="N290" s="43"/>
      <c r="O290" s="43"/>
      <c r="P290" s="43"/>
      <c r="Q290" s="43"/>
      <c r="R290" s="43"/>
      <c r="S290" s="43"/>
      <c r="T290" s="43"/>
      <c r="U290" s="43"/>
      <c r="V290" s="43"/>
      <c r="W290" s="43"/>
      <c r="X290" s="43"/>
      <c r="Y290" s="43">
        <v>38.68</v>
      </c>
      <c r="Z290" s="43"/>
      <c r="AA290" s="43"/>
      <c r="AB290" s="43"/>
      <c r="AC290" s="43"/>
      <c r="AD290" s="43"/>
      <c r="AE290" s="43"/>
      <c r="AF290" s="43"/>
      <c r="AG290" s="43"/>
      <c r="AH290" s="43"/>
      <c r="AI290" s="43"/>
      <c r="AJ290" s="43"/>
      <c r="AK290" s="43"/>
      <c r="AL290" s="43"/>
      <c r="AM290" s="43"/>
      <c r="AN290" s="43"/>
      <c r="AO290" s="43"/>
      <c r="AP290" s="43"/>
      <c r="AQ290" s="43"/>
      <c r="AR290" s="53"/>
      <c r="AS290" s="52"/>
      <c r="AT290" s="43"/>
      <c r="AU290" s="43"/>
      <c r="AV290" s="43"/>
      <c r="AW290" s="43"/>
      <c r="AX290" s="43"/>
      <c r="AY290" s="43"/>
      <c r="AZ290" s="43"/>
      <c r="BA290" s="43"/>
      <c r="BB290" s="43"/>
      <c r="BC290" s="43"/>
      <c r="BD290" s="43"/>
      <c r="BE290" s="43"/>
      <c r="BF290" s="43"/>
      <c r="BG290" s="43"/>
      <c r="BH290" s="43"/>
      <c r="BI290" s="43"/>
      <c r="BJ290" s="43"/>
      <c r="BK290" s="43"/>
      <c r="BL290" s="43"/>
      <c r="BM290" s="43"/>
      <c r="BN290" s="43"/>
      <c r="BO290" s="43"/>
      <c r="BP290" s="43"/>
      <c r="BQ290" s="43"/>
      <c r="BR290" s="43"/>
      <c r="BS290" s="43"/>
      <c r="BT290" s="43"/>
      <c r="BU290" s="43"/>
      <c r="BV290" s="43"/>
      <c r="BW290" s="53"/>
      <c r="BX290" s="30">
        <f t="shared" si="75"/>
        <v>0</v>
      </c>
      <c r="BY290" s="52">
        <f t="shared" si="92"/>
        <v>0</v>
      </c>
      <c r="BZ290" s="43">
        <f>E290</f>
        <v>38.68</v>
      </c>
      <c r="CA290" s="68"/>
      <c r="CB290" s="68"/>
      <c r="CC290" s="68"/>
      <c r="CD290" s="68"/>
      <c r="CE290" s="68"/>
      <c r="CF290" s="68"/>
      <c r="CG290" s="81"/>
      <c r="CH290" s="68"/>
      <c r="CI290" s="68"/>
      <c r="CJ290" s="68"/>
      <c r="CK290" s="68"/>
      <c r="CL290" s="68"/>
      <c r="CM290" s="68"/>
      <c r="CN290" s="68"/>
      <c r="CO290" s="68"/>
      <c r="CP290" s="68"/>
      <c r="CQ290" s="82"/>
      <c r="CR290" s="68"/>
      <c r="CS290" s="68"/>
      <c r="CT290" s="68"/>
      <c r="CU290" s="68"/>
      <c r="CV290" s="68"/>
      <c r="CW290" s="68"/>
      <c r="CX290" s="68"/>
      <c r="CY290" s="68"/>
      <c r="CZ290" s="43"/>
      <c r="DA290" s="43"/>
      <c r="DB290" s="43"/>
      <c r="DC290" s="43"/>
      <c r="DD290" s="43"/>
      <c r="DE290" s="73">
        <f t="shared" si="78"/>
        <v>0</v>
      </c>
      <c r="DG290" s="52"/>
      <c r="DH290" s="43"/>
      <c r="DI290" s="50">
        <f t="shared" si="79"/>
        <v>6628.0433333333322</v>
      </c>
      <c r="DK290" s="52"/>
      <c r="DL290" s="43"/>
      <c r="DM290" s="50">
        <f t="shared" si="80"/>
        <v>4432.51</v>
      </c>
      <c r="DO290" s="52"/>
      <c r="DP290" s="43"/>
      <c r="DQ290" s="50">
        <f t="shared" si="81"/>
        <v>7995.9800000000032</v>
      </c>
      <c r="DT290" s="52"/>
      <c r="DU290" s="43"/>
      <c r="DV290" s="50">
        <f t="shared" si="82"/>
        <v>518.17000000000007</v>
      </c>
      <c r="DX290" s="52"/>
      <c r="DY290" s="43"/>
      <c r="DZ290" s="53">
        <f t="shared" si="83"/>
        <v>617.75</v>
      </c>
      <c r="EB290" s="52"/>
      <c r="EC290" s="43"/>
      <c r="ED290" s="53">
        <f t="shared" si="84"/>
        <v>500</v>
      </c>
      <c r="EF290" s="52"/>
      <c r="EG290" s="43"/>
      <c r="EH290" s="53">
        <f t="shared" si="85"/>
        <v>1048.04</v>
      </c>
      <c r="EJ290" s="65"/>
      <c r="EK290" s="7"/>
      <c r="EL290" s="53">
        <f t="shared" si="86"/>
        <v>25.299999999999997</v>
      </c>
      <c r="EN290" s="51">
        <f t="shared" si="87"/>
        <v>-190.81333333330969</v>
      </c>
      <c r="EP290" s="60">
        <f t="shared" si="88"/>
        <v>0</v>
      </c>
      <c r="EQ290" s="61">
        <f t="shared" si="89"/>
        <v>0</v>
      </c>
      <c r="ER290" s="15">
        <f t="shared" si="90"/>
        <v>0</v>
      </c>
      <c r="ES290" s="62">
        <f t="shared" si="91"/>
        <v>0</v>
      </c>
      <c r="EU290" s="6">
        <v>284</v>
      </c>
    </row>
    <row r="291" spans="1:151" x14ac:dyDescent="0.45">
      <c r="A291" s="9">
        <v>45722</v>
      </c>
      <c r="B291" t="s">
        <v>986</v>
      </c>
      <c r="C291" s="10" t="s">
        <v>680</v>
      </c>
      <c r="D291" s="7"/>
      <c r="E291" s="43"/>
      <c r="F291" s="43">
        <v>155.01</v>
      </c>
      <c r="G291" s="16">
        <f t="shared" si="77"/>
        <v>21419.970000000027</v>
      </c>
      <c r="H291" s="64" t="s">
        <v>625</v>
      </c>
      <c r="I291" s="52"/>
      <c r="J291" s="43"/>
      <c r="K291" s="43"/>
      <c r="L291" s="43"/>
      <c r="M291" s="43"/>
      <c r="N291" s="43"/>
      <c r="O291" s="43"/>
      <c r="P291" s="43"/>
      <c r="Q291" s="43"/>
      <c r="R291" s="43"/>
      <c r="S291" s="43"/>
      <c r="T291" s="43"/>
      <c r="U291" s="43"/>
      <c r="V291" s="43"/>
      <c r="W291" s="43"/>
      <c r="X291" s="43"/>
      <c r="Y291" s="43"/>
      <c r="Z291" s="43"/>
      <c r="AA291" s="43"/>
      <c r="AB291" s="43"/>
      <c r="AC291" s="43"/>
      <c r="AD291" s="43"/>
      <c r="AE291" s="43"/>
      <c r="AF291" s="43"/>
      <c r="AG291" s="43"/>
      <c r="AH291" s="43"/>
      <c r="AI291" s="43"/>
      <c r="AJ291" s="43"/>
      <c r="AK291" s="43"/>
      <c r="AL291" s="43"/>
      <c r="AM291" s="43"/>
      <c r="AN291" s="43"/>
      <c r="AO291" s="43"/>
      <c r="AP291" s="43"/>
      <c r="AQ291" s="43"/>
      <c r="AR291" s="53"/>
      <c r="AS291" s="52"/>
      <c r="AT291" s="43"/>
      <c r="AU291" s="43"/>
      <c r="AV291" s="43"/>
      <c r="AW291" s="43"/>
      <c r="AX291" s="43"/>
      <c r="AY291" s="43">
        <v>155.01</v>
      </c>
      <c r="AZ291" s="43"/>
      <c r="BA291" s="43"/>
      <c r="BB291" s="43"/>
      <c r="BC291" s="43"/>
      <c r="BD291" s="43"/>
      <c r="BE291" s="43"/>
      <c r="BF291" s="43"/>
      <c r="BG291" s="43"/>
      <c r="BH291" s="43"/>
      <c r="BI291" s="43"/>
      <c r="BJ291" s="43"/>
      <c r="BK291" s="43"/>
      <c r="BL291" s="43"/>
      <c r="BM291" s="43"/>
      <c r="BN291" s="43"/>
      <c r="BO291" s="43"/>
      <c r="BP291" s="43"/>
      <c r="BQ291" s="43"/>
      <c r="BR291" s="43"/>
      <c r="BS291" s="43"/>
      <c r="BT291" s="43"/>
      <c r="BU291" s="43"/>
      <c r="BV291" s="43"/>
      <c r="BW291" s="53"/>
      <c r="BX291" s="30">
        <f t="shared" si="75"/>
        <v>0</v>
      </c>
      <c r="BY291" s="52">
        <f t="shared" si="92"/>
        <v>0</v>
      </c>
      <c r="BZ291" s="43"/>
      <c r="CA291" s="43"/>
      <c r="CB291" s="43"/>
      <c r="CC291" s="43"/>
      <c r="CD291" s="43"/>
      <c r="CE291" s="43"/>
      <c r="CF291" s="43"/>
      <c r="CG291" s="53"/>
      <c r="CH291" s="52"/>
      <c r="CI291" s="43"/>
      <c r="CJ291" s="43"/>
      <c r="CK291" s="43"/>
      <c r="CL291" s="43"/>
      <c r="CM291" s="43"/>
      <c r="CN291" s="43"/>
      <c r="CO291" s="43"/>
      <c r="CP291" s="43"/>
      <c r="CQ291" s="43"/>
      <c r="CR291" s="43"/>
      <c r="CS291" s="43"/>
      <c r="CT291" s="43">
        <f>F291</f>
        <v>155.01</v>
      </c>
      <c r="CU291" s="43"/>
      <c r="CV291" s="43"/>
      <c r="CW291" s="43"/>
      <c r="CX291" s="43"/>
      <c r="CY291" s="43"/>
      <c r="CZ291" s="7"/>
      <c r="DA291" s="7"/>
      <c r="DB291" s="43"/>
      <c r="DC291" s="43"/>
      <c r="DD291" s="53"/>
      <c r="DE291" s="73">
        <f t="shared" si="78"/>
        <v>0</v>
      </c>
      <c r="DG291" s="52"/>
      <c r="DH291" s="43"/>
      <c r="DI291" s="50">
        <f t="shared" si="79"/>
        <v>6628.0433333333322</v>
      </c>
      <c r="DK291" s="52"/>
      <c r="DL291" s="43"/>
      <c r="DM291" s="50">
        <f t="shared" si="80"/>
        <v>4432.51</v>
      </c>
      <c r="DO291" s="52"/>
      <c r="DP291" s="43"/>
      <c r="DQ291" s="50">
        <f t="shared" si="81"/>
        <v>7995.9800000000032</v>
      </c>
      <c r="DT291" s="52"/>
      <c r="DU291" s="43"/>
      <c r="DV291" s="50">
        <f t="shared" si="82"/>
        <v>518.17000000000007</v>
      </c>
      <c r="DX291" s="52"/>
      <c r="DY291" s="43"/>
      <c r="DZ291" s="53">
        <f t="shared" si="83"/>
        <v>617.75</v>
      </c>
      <c r="EB291" s="52"/>
      <c r="EC291" s="43"/>
      <c r="ED291" s="53">
        <f t="shared" si="84"/>
        <v>500</v>
      </c>
      <c r="EF291" s="52"/>
      <c r="EG291" s="43"/>
      <c r="EH291" s="53">
        <f t="shared" si="85"/>
        <v>1048.04</v>
      </c>
      <c r="EJ291" s="65"/>
      <c r="EK291" s="7"/>
      <c r="EL291" s="53">
        <f t="shared" si="86"/>
        <v>25.299999999999997</v>
      </c>
      <c r="EN291" s="51">
        <f t="shared" si="87"/>
        <v>-345.82333333330809</v>
      </c>
      <c r="EP291" s="60">
        <f t="shared" si="88"/>
        <v>0</v>
      </c>
      <c r="EQ291" s="61">
        <f t="shared" si="89"/>
        <v>-155.01</v>
      </c>
      <c r="ER291" s="15">
        <f t="shared" si="90"/>
        <v>0</v>
      </c>
      <c r="ES291" s="163">
        <f t="shared" si="91"/>
        <v>0</v>
      </c>
      <c r="EU291">
        <v>285</v>
      </c>
    </row>
    <row r="292" spans="1:151" x14ac:dyDescent="0.45">
      <c r="A292" s="9">
        <v>45722</v>
      </c>
      <c r="B292" t="s">
        <v>987</v>
      </c>
      <c r="C292" s="4" t="s">
        <v>633</v>
      </c>
      <c r="D292" s="7"/>
      <c r="E292" s="43">
        <v>38.68</v>
      </c>
      <c r="F292" s="43"/>
      <c r="G292" s="16">
        <f t="shared" si="77"/>
        <v>21458.650000000027</v>
      </c>
      <c r="H292" s="64" t="s">
        <v>625</v>
      </c>
      <c r="I292" s="52"/>
      <c r="J292" s="43"/>
      <c r="K292" s="43"/>
      <c r="L292" s="43"/>
      <c r="M292" s="43"/>
      <c r="N292" s="43"/>
      <c r="O292" s="83"/>
      <c r="P292" s="43"/>
      <c r="Q292" s="43"/>
      <c r="R292" s="43"/>
      <c r="S292" s="43"/>
      <c r="T292" s="43"/>
      <c r="U292" s="43"/>
      <c r="V292" s="43"/>
      <c r="W292" s="43"/>
      <c r="X292" s="43"/>
      <c r="Y292" s="43">
        <v>38.68</v>
      </c>
      <c r="Z292" s="43"/>
      <c r="AA292" s="43"/>
      <c r="AB292" s="43"/>
      <c r="AC292" s="43"/>
      <c r="AD292" s="43"/>
      <c r="AE292" s="43"/>
      <c r="AF292" s="43"/>
      <c r="AG292" s="43"/>
      <c r="AH292" s="43"/>
      <c r="AI292" s="43"/>
      <c r="AJ292" s="43"/>
      <c r="AK292" s="43"/>
      <c r="AL292" s="43"/>
      <c r="AM292" s="43"/>
      <c r="AN292" s="43"/>
      <c r="AO292" s="43"/>
      <c r="AP292" s="43"/>
      <c r="AQ292" s="43"/>
      <c r="AR292" s="53"/>
      <c r="AS292" s="52"/>
      <c r="AT292" s="43"/>
      <c r="AU292" s="43"/>
      <c r="AV292" s="43"/>
      <c r="AW292" s="43"/>
      <c r="AX292" s="43"/>
      <c r="AY292" s="43"/>
      <c r="AZ292" s="43"/>
      <c r="BA292" s="43"/>
      <c r="BB292" s="43"/>
      <c r="BC292" s="43"/>
      <c r="BD292" s="43"/>
      <c r="BE292" s="43"/>
      <c r="BF292" s="43"/>
      <c r="BG292" s="43"/>
      <c r="BH292" s="43"/>
      <c r="BI292" s="43"/>
      <c r="BJ292" s="43"/>
      <c r="BK292" s="43"/>
      <c r="BL292" s="43"/>
      <c r="BM292" s="43"/>
      <c r="BN292" s="43"/>
      <c r="BO292" s="43"/>
      <c r="BP292" s="43"/>
      <c r="BQ292" s="43"/>
      <c r="BR292" s="43"/>
      <c r="BS292" s="43"/>
      <c r="BT292" s="43"/>
      <c r="BU292" s="43"/>
      <c r="BV292" s="43"/>
      <c r="BW292" s="53"/>
      <c r="BX292" s="30">
        <f t="shared" si="75"/>
        <v>0</v>
      </c>
      <c r="BY292" s="52">
        <f t="shared" si="92"/>
        <v>0</v>
      </c>
      <c r="BZ292" s="43">
        <f>E292</f>
        <v>38.68</v>
      </c>
      <c r="CA292" s="43"/>
      <c r="CB292" s="43"/>
      <c r="CC292" s="43"/>
      <c r="CD292" s="43"/>
      <c r="CE292" s="43"/>
      <c r="CF292" s="43"/>
      <c r="CG292" s="53"/>
      <c r="CH292" s="52"/>
      <c r="CI292" s="43"/>
      <c r="CJ292" s="43"/>
      <c r="CK292" s="43"/>
      <c r="CL292" s="43"/>
      <c r="CM292" s="43"/>
      <c r="CN292" s="43"/>
      <c r="CO292" s="43"/>
      <c r="CP292" s="43"/>
      <c r="CQ292" s="43"/>
      <c r="CR292" s="43"/>
      <c r="CS292" s="43"/>
      <c r="CT292" s="43"/>
      <c r="CU292" s="43"/>
      <c r="CV292" s="43"/>
      <c r="CW292" s="43"/>
      <c r="CX292" s="43"/>
      <c r="CY292" s="43"/>
      <c r="CZ292" s="7"/>
      <c r="DA292" s="7"/>
      <c r="DB292" s="43"/>
      <c r="DC292" s="43"/>
      <c r="DD292" s="53"/>
      <c r="DE292" s="73">
        <f t="shared" si="78"/>
        <v>0</v>
      </c>
      <c r="DG292" s="52"/>
      <c r="DH292" s="43"/>
      <c r="DI292" s="50">
        <f t="shared" si="79"/>
        <v>6628.0433333333322</v>
      </c>
      <c r="DK292" s="52"/>
      <c r="DL292" s="43"/>
      <c r="DM292" s="50">
        <f t="shared" si="80"/>
        <v>4432.51</v>
      </c>
      <c r="DO292" s="52"/>
      <c r="DP292" s="43"/>
      <c r="DQ292" s="50">
        <f t="shared" si="81"/>
        <v>7995.9800000000032</v>
      </c>
      <c r="DT292" s="52"/>
      <c r="DU292" s="43"/>
      <c r="DV292" s="50">
        <f t="shared" si="82"/>
        <v>518.17000000000007</v>
      </c>
      <c r="DX292" s="52"/>
      <c r="DY292" s="43"/>
      <c r="DZ292" s="53">
        <f t="shared" si="83"/>
        <v>617.75</v>
      </c>
      <c r="EB292" s="52"/>
      <c r="EC292" s="43"/>
      <c r="ED292" s="53">
        <f t="shared" si="84"/>
        <v>500</v>
      </c>
      <c r="EF292" s="52"/>
      <c r="EG292" s="43"/>
      <c r="EH292" s="53">
        <f t="shared" si="85"/>
        <v>1048.04</v>
      </c>
      <c r="EJ292" s="65"/>
      <c r="EK292" s="7"/>
      <c r="EL292" s="53">
        <f t="shared" si="86"/>
        <v>25.299999999999997</v>
      </c>
      <c r="EN292" s="51">
        <f t="shared" si="87"/>
        <v>-307.14333333330779</v>
      </c>
      <c r="EP292" s="60">
        <f t="shared" si="88"/>
        <v>0</v>
      </c>
      <c r="EQ292" s="61">
        <f t="shared" si="89"/>
        <v>0</v>
      </c>
      <c r="ER292" s="15">
        <f t="shared" si="90"/>
        <v>0</v>
      </c>
      <c r="ES292" s="62">
        <f t="shared" si="91"/>
        <v>0</v>
      </c>
      <c r="EU292" s="6">
        <v>286</v>
      </c>
    </row>
    <row r="293" spans="1:151" x14ac:dyDescent="0.45">
      <c r="A293" s="9">
        <v>45723</v>
      </c>
      <c r="B293" t="s">
        <v>988</v>
      </c>
      <c r="C293" s="4" t="s">
        <v>633</v>
      </c>
      <c r="D293" s="7"/>
      <c r="E293" s="43">
        <v>38.68</v>
      </c>
      <c r="F293" s="43"/>
      <c r="G293" s="16">
        <f t="shared" si="77"/>
        <v>21497.330000000027</v>
      </c>
      <c r="H293" s="64" t="s">
        <v>625</v>
      </c>
      <c r="I293" s="52"/>
      <c r="J293" s="43"/>
      <c r="K293" s="43"/>
      <c r="L293" s="43"/>
      <c r="M293" s="43"/>
      <c r="N293" s="43"/>
      <c r="O293" s="43"/>
      <c r="P293" s="43"/>
      <c r="Q293" s="43"/>
      <c r="R293" s="43"/>
      <c r="S293" s="43"/>
      <c r="T293" s="43"/>
      <c r="U293" s="43"/>
      <c r="V293" s="43"/>
      <c r="W293" s="43"/>
      <c r="X293" s="43"/>
      <c r="Y293" s="43"/>
      <c r="Z293" s="43">
        <v>38.68</v>
      </c>
      <c r="AA293" s="43"/>
      <c r="AB293" s="43"/>
      <c r="AC293" s="43"/>
      <c r="AD293" s="43"/>
      <c r="AE293" s="43"/>
      <c r="AF293" s="43"/>
      <c r="AG293" s="43"/>
      <c r="AH293" s="43"/>
      <c r="AI293" s="43"/>
      <c r="AJ293" s="43"/>
      <c r="AK293" s="43"/>
      <c r="AL293" s="43"/>
      <c r="AM293" s="43"/>
      <c r="AN293" s="43"/>
      <c r="AO293" s="43"/>
      <c r="AP293" s="43"/>
      <c r="AQ293" s="43"/>
      <c r="AR293" s="53"/>
      <c r="AS293" s="52"/>
      <c r="AT293" s="43"/>
      <c r="AU293" s="43"/>
      <c r="AV293" s="43"/>
      <c r="AW293" s="43"/>
      <c r="AX293" s="43"/>
      <c r="AY293" s="43"/>
      <c r="AZ293" s="43"/>
      <c r="BA293" s="43"/>
      <c r="BB293" s="43"/>
      <c r="BC293" s="43"/>
      <c r="BD293" s="43"/>
      <c r="BE293" s="43"/>
      <c r="BF293" s="43"/>
      <c r="BG293" s="43"/>
      <c r="BH293" s="43"/>
      <c r="BI293" s="43"/>
      <c r="BJ293" s="43"/>
      <c r="BK293" s="43"/>
      <c r="BL293" s="43"/>
      <c r="BM293" s="43"/>
      <c r="BN293" s="43"/>
      <c r="BO293" s="43"/>
      <c r="BP293" s="43"/>
      <c r="BQ293" s="43"/>
      <c r="BR293" s="43"/>
      <c r="BS293" s="43"/>
      <c r="BT293" s="43"/>
      <c r="BU293" s="43"/>
      <c r="BV293" s="43"/>
      <c r="BW293" s="53"/>
      <c r="BX293" s="30">
        <f t="shared" si="75"/>
        <v>0</v>
      </c>
      <c r="BY293" s="52">
        <f t="shared" si="92"/>
        <v>0</v>
      </c>
      <c r="BZ293" s="43">
        <f>E293</f>
        <v>38.68</v>
      </c>
      <c r="CA293" s="43"/>
      <c r="CB293" s="43"/>
      <c r="CC293" s="43"/>
      <c r="CD293" s="43"/>
      <c r="CE293" s="43"/>
      <c r="CF293" s="43"/>
      <c r="CG293" s="53"/>
      <c r="CH293" s="52"/>
      <c r="CI293" s="43"/>
      <c r="CJ293" s="43"/>
      <c r="CK293" s="43"/>
      <c r="CL293" s="43"/>
      <c r="CM293" s="43"/>
      <c r="CN293" s="43"/>
      <c r="CO293" s="43"/>
      <c r="CP293" s="43"/>
      <c r="CQ293" s="43"/>
      <c r="CR293" s="43"/>
      <c r="CS293" s="43"/>
      <c r="CT293" s="43"/>
      <c r="CU293" s="43"/>
      <c r="CV293" s="43"/>
      <c r="CW293" s="43"/>
      <c r="CX293" s="43"/>
      <c r="CY293" s="43"/>
      <c r="CZ293" s="7"/>
      <c r="DA293" s="7"/>
      <c r="DB293" s="43"/>
      <c r="DC293" s="43"/>
      <c r="DD293" s="53"/>
      <c r="DE293" s="73">
        <f t="shared" si="78"/>
        <v>0</v>
      </c>
      <c r="DG293" s="52"/>
      <c r="DH293" s="43"/>
      <c r="DI293" s="50">
        <f t="shared" si="79"/>
        <v>6628.0433333333322</v>
      </c>
      <c r="DK293" s="52"/>
      <c r="DL293" s="43"/>
      <c r="DM293" s="50">
        <f t="shared" si="80"/>
        <v>4432.51</v>
      </c>
      <c r="DO293" s="52"/>
      <c r="DP293" s="43"/>
      <c r="DQ293" s="50">
        <f t="shared" si="81"/>
        <v>7995.9800000000032</v>
      </c>
      <c r="DT293" s="52"/>
      <c r="DU293" s="43"/>
      <c r="DV293" s="50">
        <f t="shared" si="82"/>
        <v>518.17000000000007</v>
      </c>
      <c r="DX293" s="52"/>
      <c r="DY293" s="43"/>
      <c r="DZ293" s="53">
        <f t="shared" si="83"/>
        <v>617.75</v>
      </c>
      <c r="EB293" s="52"/>
      <c r="EC293" s="43"/>
      <c r="ED293" s="53">
        <f t="shared" si="84"/>
        <v>500</v>
      </c>
      <c r="EF293" s="52"/>
      <c r="EG293" s="43"/>
      <c r="EH293" s="53">
        <f t="shared" si="85"/>
        <v>1048.04</v>
      </c>
      <c r="EJ293" s="65"/>
      <c r="EK293" s="7"/>
      <c r="EL293" s="53">
        <f t="shared" si="86"/>
        <v>25.299999999999997</v>
      </c>
      <c r="EN293" s="51">
        <f t="shared" si="87"/>
        <v>-268.4633333333075</v>
      </c>
      <c r="EP293" s="60">
        <f t="shared" si="88"/>
        <v>0</v>
      </c>
      <c r="EQ293" s="61">
        <f t="shared" si="89"/>
        <v>0</v>
      </c>
      <c r="ER293" s="15">
        <f t="shared" si="90"/>
        <v>0</v>
      </c>
      <c r="ES293" s="163">
        <f t="shared" si="91"/>
        <v>0</v>
      </c>
      <c r="EU293">
        <v>287</v>
      </c>
    </row>
    <row r="294" spans="1:151" x14ac:dyDescent="0.45">
      <c r="A294" s="9">
        <v>45726</v>
      </c>
      <c r="B294" t="s">
        <v>989</v>
      </c>
      <c r="C294" s="10" t="s">
        <v>640</v>
      </c>
      <c r="D294" s="7"/>
      <c r="E294" s="43"/>
      <c r="F294">
        <v>361.45</v>
      </c>
      <c r="G294" s="16">
        <f t="shared" si="77"/>
        <v>21135.880000000026</v>
      </c>
      <c r="H294" s="64" t="s">
        <v>625</v>
      </c>
      <c r="I294" s="52"/>
      <c r="J294" s="43"/>
      <c r="K294" s="43"/>
      <c r="L294" s="43"/>
      <c r="M294" s="43"/>
      <c r="N294" s="43"/>
      <c r="O294" s="43"/>
      <c r="P294" s="43"/>
      <c r="Q294" s="43"/>
      <c r="R294" s="43"/>
      <c r="S294" s="43"/>
      <c r="T294" s="43"/>
      <c r="U294" s="43"/>
      <c r="V294" s="43"/>
      <c r="W294" s="43"/>
      <c r="X294" s="43"/>
      <c r="Y294" s="43"/>
      <c r="Z294" s="43"/>
      <c r="AA294" s="43"/>
      <c r="AB294" s="43"/>
      <c r="AC294" s="43"/>
      <c r="AD294" s="43"/>
      <c r="AE294" s="43"/>
      <c r="AF294" s="43"/>
      <c r="AG294" s="43"/>
      <c r="AH294" s="43"/>
      <c r="AI294" s="43"/>
      <c r="AJ294" s="43"/>
      <c r="AK294" s="43"/>
      <c r="AL294" s="43"/>
      <c r="AM294" s="43"/>
      <c r="AN294" s="43"/>
      <c r="AO294" s="43"/>
      <c r="AP294" s="43"/>
      <c r="AQ294" s="43"/>
      <c r="AR294" s="53"/>
      <c r="AS294" s="52"/>
      <c r="AT294" s="43"/>
      <c r="AU294" s="43"/>
      <c r="AV294" s="43"/>
      <c r="AW294" s="43"/>
      <c r="AX294" s="43"/>
      <c r="AY294" s="43"/>
      <c r="AZ294" s="43"/>
      <c r="BA294" s="43"/>
      <c r="BB294" s="43"/>
      <c r="BC294" s="43"/>
      <c r="BD294" s="43"/>
      <c r="BE294" s="43"/>
      <c r="BF294" s="43"/>
      <c r="BG294" s="43"/>
      <c r="BH294" s="43"/>
      <c r="BI294" s="43"/>
      <c r="BJ294" s="43"/>
      <c r="BK294" s="43"/>
      <c r="BL294" s="43"/>
      <c r="BM294" s="43"/>
      <c r="BN294" s="43"/>
      <c r="BO294" s="43"/>
      <c r="BP294" s="43"/>
      <c r="BQ294" s="43"/>
      <c r="BR294" s="43"/>
      <c r="BS294" s="43"/>
      <c r="BT294" s="43"/>
      <c r="BU294" s="43"/>
      <c r="BV294" s="43"/>
      <c r="BW294" s="53">
        <v>361.45</v>
      </c>
      <c r="BX294" s="30">
        <f t="shared" si="75"/>
        <v>0</v>
      </c>
      <c r="BY294" s="52">
        <f t="shared" si="92"/>
        <v>0</v>
      </c>
      <c r="BZ294" s="43"/>
      <c r="CA294" s="43"/>
      <c r="CB294" s="43"/>
      <c r="CC294" s="43"/>
      <c r="CD294" s="43"/>
      <c r="CE294" s="43"/>
      <c r="CF294" s="43"/>
      <c r="CG294" s="53"/>
      <c r="CH294" s="52"/>
      <c r="CI294" s="43"/>
      <c r="CJ294" s="43"/>
      <c r="CK294" s="43"/>
      <c r="CL294" s="43"/>
      <c r="CM294" s="43"/>
      <c r="CN294" s="43"/>
      <c r="CO294" s="43"/>
      <c r="CP294" s="43"/>
      <c r="CQ294" s="43"/>
      <c r="CR294" s="43"/>
      <c r="CS294" s="43"/>
      <c r="CT294" s="43"/>
      <c r="CU294" s="43"/>
      <c r="CV294" s="43"/>
      <c r="CW294" s="43"/>
      <c r="CX294" s="43"/>
      <c r="CY294" s="43"/>
      <c r="CZ294" s="7"/>
      <c r="DA294" s="7"/>
      <c r="DB294" s="43"/>
      <c r="DC294" s="43"/>
      <c r="DD294" s="53">
        <f>F294</f>
        <v>361.45</v>
      </c>
      <c r="DE294" s="73">
        <f t="shared" si="78"/>
        <v>0</v>
      </c>
      <c r="DG294" s="52"/>
      <c r="DH294" s="43"/>
      <c r="DI294" s="50">
        <f t="shared" si="79"/>
        <v>6628.0433333333322</v>
      </c>
      <c r="DK294" s="52"/>
      <c r="DL294" s="43"/>
      <c r="DM294" s="50">
        <f t="shared" si="80"/>
        <v>4432.51</v>
      </c>
      <c r="DO294" s="52"/>
      <c r="DP294" s="43"/>
      <c r="DQ294" s="50">
        <f t="shared" si="81"/>
        <v>7995.9800000000032</v>
      </c>
      <c r="DT294" s="52"/>
      <c r="DU294" s="43"/>
      <c r="DV294" s="50">
        <f t="shared" si="82"/>
        <v>518.17000000000007</v>
      </c>
      <c r="DX294" s="52"/>
      <c r="DY294" s="43"/>
      <c r="DZ294" s="53">
        <f t="shared" si="83"/>
        <v>617.75</v>
      </c>
      <c r="EB294" s="52"/>
      <c r="EC294" s="43"/>
      <c r="ED294" s="53">
        <f t="shared" si="84"/>
        <v>500</v>
      </c>
      <c r="EF294" s="52"/>
      <c r="EG294" s="43"/>
      <c r="EH294" s="53">
        <f t="shared" si="85"/>
        <v>1048.04</v>
      </c>
      <c r="EJ294" s="65"/>
      <c r="EK294" s="7"/>
      <c r="EL294" s="53">
        <f t="shared" si="86"/>
        <v>25.299999999999997</v>
      </c>
      <c r="EN294" s="51">
        <f t="shared" si="87"/>
        <v>-629.91333333330817</v>
      </c>
      <c r="EP294" s="60">
        <f t="shared" si="88"/>
        <v>0</v>
      </c>
      <c r="EQ294" s="61">
        <f t="shared" si="89"/>
        <v>0</v>
      </c>
      <c r="ER294" s="15">
        <f t="shared" si="90"/>
        <v>0</v>
      </c>
      <c r="ES294" s="62">
        <f t="shared" si="91"/>
        <v>0</v>
      </c>
      <c r="ET294" t="s">
        <v>1006</v>
      </c>
      <c r="EU294" s="6">
        <v>288</v>
      </c>
    </row>
    <row r="295" spans="1:151" x14ac:dyDescent="0.45">
      <c r="A295" s="9">
        <v>45726</v>
      </c>
      <c r="B295" t="s">
        <v>990</v>
      </c>
      <c r="C295" s="10" t="s">
        <v>641</v>
      </c>
      <c r="D295" s="7"/>
      <c r="E295" s="43"/>
      <c r="F295">
        <v>150</v>
      </c>
      <c r="G295" s="16">
        <f t="shared" si="77"/>
        <v>20985.880000000026</v>
      </c>
      <c r="H295" s="64" t="s">
        <v>625</v>
      </c>
      <c r="I295" s="52"/>
      <c r="J295" s="43"/>
      <c r="K295" s="43"/>
      <c r="L295" s="43"/>
      <c r="M295" s="43"/>
      <c r="N295" s="43"/>
      <c r="O295" s="43"/>
      <c r="P295" s="43"/>
      <c r="Q295" s="43"/>
      <c r="R295" s="43"/>
      <c r="S295" s="43"/>
      <c r="T295" s="43"/>
      <c r="U295" s="43"/>
      <c r="V295" s="43"/>
      <c r="W295" s="43"/>
      <c r="X295" s="43"/>
      <c r="Y295" s="43"/>
      <c r="Z295" s="43"/>
      <c r="AA295" s="43"/>
      <c r="AB295" s="43"/>
      <c r="AC295" s="43"/>
      <c r="AD295" s="43"/>
      <c r="AE295" s="43"/>
      <c r="AF295" s="43"/>
      <c r="AG295" s="43"/>
      <c r="AH295" s="43"/>
      <c r="AI295" s="43"/>
      <c r="AJ295" s="43"/>
      <c r="AK295" s="43"/>
      <c r="AL295" s="43"/>
      <c r="AM295" s="43"/>
      <c r="AN295" s="43"/>
      <c r="AO295" s="43"/>
      <c r="AP295" s="43"/>
      <c r="AQ295" s="43"/>
      <c r="AR295" s="53"/>
      <c r="AS295" s="52"/>
      <c r="AT295" s="43"/>
      <c r="AU295" s="43"/>
      <c r="AV295" s="43"/>
      <c r="AW295" s="43"/>
      <c r="AX295" s="43"/>
      <c r="AY295" s="43"/>
      <c r="AZ295" s="43"/>
      <c r="BA295" s="43"/>
      <c r="BB295" s="43"/>
      <c r="BC295" s="43"/>
      <c r="BD295" s="43"/>
      <c r="BE295" s="43"/>
      <c r="BF295" s="43"/>
      <c r="BG295" s="43">
        <v>150</v>
      </c>
      <c r="BH295" s="43"/>
      <c r="BI295" s="43"/>
      <c r="BJ295" s="43"/>
      <c r="BK295" s="43"/>
      <c r="BL295" s="43"/>
      <c r="BM295" s="43"/>
      <c r="BN295" s="43"/>
      <c r="BO295" s="43"/>
      <c r="BP295" s="43"/>
      <c r="BQ295" s="43"/>
      <c r="BR295" s="43"/>
      <c r="BS295" s="43"/>
      <c r="BT295" s="43"/>
      <c r="BU295" s="43"/>
      <c r="BV295" s="43"/>
      <c r="BW295" s="53"/>
      <c r="BX295" s="30">
        <f t="shared" si="75"/>
        <v>0</v>
      </c>
      <c r="BY295" s="52">
        <f t="shared" si="92"/>
        <v>0</v>
      </c>
      <c r="BZ295" s="43"/>
      <c r="CA295" s="43"/>
      <c r="CB295" s="43"/>
      <c r="CC295" s="43"/>
      <c r="CD295" s="43"/>
      <c r="CE295" s="43"/>
      <c r="CF295" s="43"/>
      <c r="CG295" s="53"/>
      <c r="CH295" s="52"/>
      <c r="CI295" s="43"/>
      <c r="CJ295" s="43"/>
      <c r="CK295" s="43"/>
      <c r="CL295" s="43"/>
      <c r="CM295" s="43"/>
      <c r="CN295" s="43"/>
      <c r="CO295" s="43"/>
      <c r="CP295" s="43"/>
      <c r="CQ295" s="43"/>
      <c r="CR295" s="43"/>
      <c r="CS295" s="43"/>
      <c r="CT295" s="43"/>
      <c r="CU295" s="43"/>
      <c r="CV295" s="43"/>
      <c r="CW295" s="43"/>
      <c r="CX295" s="43">
        <f>F295</f>
        <v>150</v>
      </c>
      <c r="CY295" s="43"/>
      <c r="CZ295" s="7"/>
      <c r="DA295" s="7"/>
      <c r="DB295" s="43"/>
      <c r="DC295" s="43"/>
      <c r="DD295" s="53"/>
      <c r="DE295" s="73">
        <f t="shared" si="78"/>
        <v>0</v>
      </c>
      <c r="DG295" s="52"/>
      <c r="DH295" s="43"/>
      <c r="DI295" s="50">
        <f t="shared" si="79"/>
        <v>6628.0433333333322</v>
      </c>
      <c r="DK295" s="52"/>
      <c r="DL295" s="43"/>
      <c r="DM295" s="50">
        <f t="shared" si="80"/>
        <v>4432.51</v>
      </c>
      <c r="DO295" s="52"/>
      <c r="DP295" s="43"/>
      <c r="DQ295" s="50">
        <f t="shared" si="81"/>
        <v>7995.9800000000032</v>
      </c>
      <c r="DT295" s="52"/>
      <c r="DU295" s="43"/>
      <c r="DV295" s="50">
        <f t="shared" si="82"/>
        <v>518.17000000000007</v>
      </c>
      <c r="DX295" s="52"/>
      <c r="DY295" s="43"/>
      <c r="DZ295" s="53">
        <f t="shared" si="83"/>
        <v>617.75</v>
      </c>
      <c r="EB295" s="52"/>
      <c r="EC295" s="43"/>
      <c r="ED295" s="53">
        <f t="shared" si="84"/>
        <v>500</v>
      </c>
      <c r="EF295" s="52"/>
      <c r="EG295" s="43"/>
      <c r="EH295" s="53">
        <f t="shared" si="85"/>
        <v>1048.04</v>
      </c>
      <c r="EJ295" s="65"/>
      <c r="EK295" s="7"/>
      <c r="EL295" s="53">
        <f t="shared" si="86"/>
        <v>25.299999999999997</v>
      </c>
      <c r="EN295" s="51">
        <f t="shared" si="87"/>
        <v>-779.91333333330817</v>
      </c>
      <c r="EP295" s="60">
        <f t="shared" si="88"/>
        <v>0</v>
      </c>
      <c r="EQ295" s="61">
        <f t="shared" si="89"/>
        <v>0</v>
      </c>
      <c r="ER295" s="15">
        <f t="shared" si="90"/>
        <v>0</v>
      </c>
      <c r="ES295" s="163">
        <f t="shared" si="91"/>
        <v>0</v>
      </c>
      <c r="EU295">
        <v>289</v>
      </c>
    </row>
    <row r="296" spans="1:151" x14ac:dyDescent="0.45">
      <c r="A296" s="9">
        <v>45726</v>
      </c>
      <c r="B296" t="s">
        <v>991</v>
      </c>
      <c r="C296" s="10" t="s">
        <v>631</v>
      </c>
      <c r="D296" s="7"/>
      <c r="E296" s="43"/>
      <c r="F296">
        <v>113.15</v>
      </c>
      <c r="G296" s="16">
        <f t="shared" si="77"/>
        <v>20872.730000000025</v>
      </c>
      <c r="H296" s="64" t="s">
        <v>625</v>
      </c>
      <c r="I296" s="52"/>
      <c r="J296" s="43"/>
      <c r="K296" s="43"/>
      <c r="L296" s="43"/>
      <c r="M296" s="43"/>
      <c r="N296" s="43"/>
      <c r="O296" s="43"/>
      <c r="P296" s="43"/>
      <c r="Q296" s="43"/>
      <c r="R296" s="43"/>
      <c r="S296" s="43"/>
      <c r="T296" s="43"/>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3"/>
      <c r="AR296" s="53"/>
      <c r="AS296" s="52"/>
      <c r="AT296" s="43"/>
      <c r="AU296" s="43"/>
      <c r="AV296" s="43"/>
      <c r="AW296" s="43"/>
      <c r="AX296" s="43"/>
      <c r="AY296" s="43"/>
      <c r="AZ296" s="43"/>
      <c r="BA296" s="43"/>
      <c r="BB296" s="43"/>
      <c r="BC296" s="43"/>
      <c r="BD296" s="43"/>
      <c r="BE296" s="43">
        <v>113.15</v>
      </c>
      <c r="BF296" s="43"/>
      <c r="BG296" s="43"/>
      <c r="BH296" s="43"/>
      <c r="BI296" s="43"/>
      <c r="BJ296" s="43"/>
      <c r="BK296" s="43"/>
      <c r="BL296" s="43"/>
      <c r="BM296" s="43"/>
      <c r="BN296" s="43"/>
      <c r="BO296" s="43"/>
      <c r="BP296" s="43"/>
      <c r="BQ296" s="43"/>
      <c r="BR296" s="43"/>
      <c r="BS296" s="43"/>
      <c r="BT296" s="43"/>
      <c r="BU296" s="43"/>
      <c r="BV296" s="43"/>
      <c r="BW296" s="53"/>
      <c r="BX296" s="30">
        <f t="shared" si="75"/>
        <v>0</v>
      </c>
      <c r="BY296" s="52">
        <f t="shared" si="92"/>
        <v>0</v>
      </c>
      <c r="BZ296" s="43"/>
      <c r="CA296" s="43"/>
      <c r="CB296" s="43"/>
      <c r="CC296" s="43"/>
      <c r="CD296" s="43"/>
      <c r="CE296" s="43"/>
      <c r="CF296" s="43"/>
      <c r="CG296" s="53"/>
      <c r="CH296" s="52"/>
      <c r="CI296" s="43"/>
      <c r="CJ296" s="43"/>
      <c r="CK296" s="43"/>
      <c r="CL296" s="43"/>
      <c r="CM296" s="43"/>
      <c r="CN296" s="43"/>
      <c r="CO296" s="43"/>
      <c r="CP296" s="43"/>
      <c r="CQ296" s="43"/>
      <c r="CR296" s="43"/>
      <c r="CS296" s="43"/>
      <c r="CT296" s="43"/>
      <c r="CU296" s="43"/>
      <c r="CV296" s="43"/>
      <c r="CW296" s="43"/>
      <c r="CX296" s="43"/>
      <c r="CY296" s="43"/>
      <c r="CZ296" s="7"/>
      <c r="DA296" s="7"/>
      <c r="DB296" s="43"/>
      <c r="DC296" s="43"/>
      <c r="DD296" s="53">
        <f>F296</f>
        <v>113.15</v>
      </c>
      <c r="DE296" s="73">
        <f t="shared" si="78"/>
        <v>0</v>
      </c>
      <c r="DG296" s="52"/>
      <c r="DH296" s="43"/>
      <c r="DI296" s="50">
        <f t="shared" si="79"/>
        <v>6628.0433333333322</v>
      </c>
      <c r="DK296" s="52"/>
      <c r="DL296" s="43"/>
      <c r="DM296" s="50">
        <f t="shared" si="80"/>
        <v>4432.51</v>
      </c>
      <c r="DO296" s="52"/>
      <c r="DP296" s="43"/>
      <c r="DQ296" s="50">
        <f t="shared" si="81"/>
        <v>7995.9800000000032</v>
      </c>
      <c r="DT296" s="52"/>
      <c r="DU296" s="43"/>
      <c r="DV296" s="50">
        <f t="shared" si="82"/>
        <v>518.17000000000007</v>
      </c>
      <c r="DX296" s="52"/>
      <c r="DY296" s="43"/>
      <c r="DZ296" s="53">
        <f t="shared" si="83"/>
        <v>617.75</v>
      </c>
      <c r="EB296" s="52"/>
      <c r="EC296" s="43"/>
      <c r="ED296" s="53">
        <f t="shared" si="84"/>
        <v>500</v>
      </c>
      <c r="EF296" s="52"/>
      <c r="EG296" s="43"/>
      <c r="EH296" s="53">
        <f t="shared" si="85"/>
        <v>1048.04</v>
      </c>
      <c r="EJ296" s="65"/>
      <c r="EK296" s="7"/>
      <c r="EL296" s="53">
        <f t="shared" si="86"/>
        <v>25.299999999999997</v>
      </c>
      <c r="EN296" s="51">
        <f t="shared" si="87"/>
        <v>-893.06333333330963</v>
      </c>
      <c r="EP296" s="60">
        <f t="shared" si="88"/>
        <v>0</v>
      </c>
      <c r="EQ296" s="61">
        <f t="shared" si="89"/>
        <v>-113.15</v>
      </c>
      <c r="ER296" s="15">
        <f t="shared" si="90"/>
        <v>0</v>
      </c>
      <c r="ES296" s="62">
        <f t="shared" si="91"/>
        <v>0</v>
      </c>
      <c r="EU296" s="6">
        <v>290</v>
      </c>
    </row>
    <row r="297" spans="1:151" x14ac:dyDescent="0.45">
      <c r="A297" s="9">
        <v>45733</v>
      </c>
      <c r="B297" t="s">
        <v>992</v>
      </c>
      <c r="C297" s="4" t="s">
        <v>633</v>
      </c>
      <c r="D297" s="7"/>
      <c r="E297">
        <v>78.599999999999994</v>
      </c>
      <c r="F297" s="43"/>
      <c r="G297" s="16">
        <f t="shared" si="77"/>
        <v>20951.330000000024</v>
      </c>
      <c r="H297" s="64" t="s">
        <v>625</v>
      </c>
      <c r="I297" s="52"/>
      <c r="J297" s="43"/>
      <c r="K297" s="43"/>
      <c r="L297" s="43"/>
      <c r="M297" s="43"/>
      <c r="N297" s="43"/>
      <c r="O297" s="43"/>
      <c r="P297" s="43"/>
      <c r="Q297" s="43"/>
      <c r="R297" s="43"/>
      <c r="S297" s="43"/>
      <c r="T297" s="43"/>
      <c r="U297" s="43"/>
      <c r="V297" s="43">
        <v>78.599999999999994</v>
      </c>
      <c r="W297" s="43"/>
      <c r="X297" s="43"/>
      <c r="Y297" s="43"/>
      <c r="Z297" s="43"/>
      <c r="AA297" s="43"/>
      <c r="AB297" s="43"/>
      <c r="AC297" s="43"/>
      <c r="AD297" s="43"/>
      <c r="AE297" s="43"/>
      <c r="AF297" s="43"/>
      <c r="AG297" s="43"/>
      <c r="AH297" s="43"/>
      <c r="AI297" s="43"/>
      <c r="AJ297" s="43"/>
      <c r="AK297" s="43"/>
      <c r="AL297" s="43"/>
      <c r="AM297" s="43"/>
      <c r="AN297" s="43"/>
      <c r="AO297" s="43"/>
      <c r="AP297" s="43"/>
      <c r="AQ297" s="43"/>
      <c r="AR297" s="53"/>
      <c r="AS297" s="52"/>
      <c r="AT297" s="43"/>
      <c r="AU297" s="43"/>
      <c r="AV297" s="43"/>
      <c r="AW297" s="43"/>
      <c r="AX297" s="43"/>
      <c r="AY297" s="43"/>
      <c r="AZ297" s="43"/>
      <c r="BA297" s="43"/>
      <c r="BB297" s="43"/>
      <c r="BC297" s="43"/>
      <c r="BD297" s="43"/>
      <c r="BE297" s="43"/>
      <c r="BF297" s="43"/>
      <c r="BG297" s="43"/>
      <c r="BH297" s="43"/>
      <c r="BI297" s="43"/>
      <c r="BJ297" s="43"/>
      <c r="BK297" s="43"/>
      <c r="BL297" s="43"/>
      <c r="BM297" s="43"/>
      <c r="BN297" s="43"/>
      <c r="BO297" s="43"/>
      <c r="BP297" s="43"/>
      <c r="BQ297" s="43"/>
      <c r="BR297" s="43"/>
      <c r="BS297" s="43"/>
      <c r="BT297" s="43"/>
      <c r="BU297" s="43"/>
      <c r="BV297" s="43"/>
      <c r="BW297" s="53"/>
      <c r="BX297" s="30">
        <f t="shared" si="75"/>
        <v>0</v>
      </c>
      <c r="BY297" s="52">
        <f t="shared" si="92"/>
        <v>0</v>
      </c>
      <c r="BZ297" s="43"/>
      <c r="CA297" s="43"/>
      <c r="CB297" s="43"/>
      <c r="CC297" s="43"/>
      <c r="CD297" s="43"/>
      <c r="CE297" s="43"/>
      <c r="CF297" s="43"/>
      <c r="CG297" s="53">
        <f>E297</f>
        <v>78.599999999999994</v>
      </c>
      <c r="CH297" s="52"/>
      <c r="CI297" s="43"/>
      <c r="CJ297" s="43"/>
      <c r="CK297" s="43"/>
      <c r="CL297" s="43"/>
      <c r="CM297" s="43"/>
      <c r="CN297" s="43"/>
      <c r="CO297" s="43"/>
      <c r="CP297" s="43"/>
      <c r="CQ297" s="43"/>
      <c r="CR297" s="43"/>
      <c r="CS297" s="43"/>
      <c r="CT297" s="43"/>
      <c r="CU297" s="43"/>
      <c r="CV297" s="43"/>
      <c r="CW297" s="43"/>
      <c r="CX297" s="43"/>
      <c r="CY297" s="43"/>
      <c r="CZ297" s="7"/>
      <c r="DA297" s="7"/>
      <c r="DB297" s="43"/>
      <c r="DC297" s="43"/>
      <c r="DD297" s="53"/>
      <c r="DE297" s="73">
        <f t="shared" si="78"/>
        <v>0</v>
      </c>
      <c r="DG297" s="52"/>
      <c r="DH297" s="43"/>
      <c r="DI297" s="50">
        <f t="shared" si="79"/>
        <v>6628.0433333333322</v>
      </c>
      <c r="DK297" s="52"/>
      <c r="DL297" s="43"/>
      <c r="DM297" s="50">
        <f t="shared" si="80"/>
        <v>4432.51</v>
      </c>
      <c r="DO297" s="52"/>
      <c r="DP297" s="43"/>
      <c r="DQ297" s="50">
        <f t="shared" si="81"/>
        <v>7995.9800000000032</v>
      </c>
      <c r="DT297" s="52"/>
      <c r="DU297" s="43"/>
      <c r="DV297" s="50">
        <f t="shared" si="82"/>
        <v>518.17000000000007</v>
      </c>
      <c r="DX297" s="52"/>
      <c r="DY297" s="43"/>
      <c r="DZ297" s="53">
        <f t="shared" si="83"/>
        <v>617.75</v>
      </c>
      <c r="EB297" s="52"/>
      <c r="EC297" s="43"/>
      <c r="ED297" s="53">
        <f t="shared" si="84"/>
        <v>500</v>
      </c>
      <c r="EF297" s="52"/>
      <c r="EG297" s="43"/>
      <c r="EH297" s="53">
        <f t="shared" si="85"/>
        <v>1048.04</v>
      </c>
      <c r="EJ297" s="65"/>
      <c r="EK297" s="7"/>
      <c r="EL297" s="53">
        <f t="shared" si="86"/>
        <v>25.299999999999997</v>
      </c>
      <c r="EN297" s="51">
        <f t="shared" si="87"/>
        <v>-814.46333333331108</v>
      </c>
      <c r="EP297" s="60">
        <f t="shared" si="88"/>
        <v>0</v>
      </c>
      <c r="EQ297" s="61">
        <f t="shared" si="89"/>
        <v>0</v>
      </c>
      <c r="ER297" s="15">
        <f t="shared" si="90"/>
        <v>0</v>
      </c>
      <c r="ES297" s="163">
        <f t="shared" si="91"/>
        <v>0</v>
      </c>
      <c r="EU297">
        <v>291</v>
      </c>
    </row>
    <row r="298" spans="1:151" x14ac:dyDescent="0.45">
      <c r="A298" s="9">
        <v>45733</v>
      </c>
      <c r="B298" t="s">
        <v>993</v>
      </c>
      <c r="C298" s="4" t="s">
        <v>633</v>
      </c>
      <c r="D298" s="7"/>
      <c r="E298">
        <v>73.69</v>
      </c>
      <c r="F298" s="43"/>
      <c r="G298" s="16">
        <f t="shared" si="77"/>
        <v>21025.020000000022</v>
      </c>
      <c r="H298" s="64" t="s">
        <v>625</v>
      </c>
      <c r="I298" s="52"/>
      <c r="J298" s="43"/>
      <c r="K298" s="43"/>
      <c r="L298" s="43"/>
      <c r="M298" s="43"/>
      <c r="N298" s="43"/>
      <c r="O298" s="43"/>
      <c r="P298" s="43"/>
      <c r="Q298" s="43"/>
      <c r="R298" s="43"/>
      <c r="S298" s="43"/>
      <c r="T298" s="43"/>
      <c r="U298" s="43"/>
      <c r="V298" s="43">
        <v>73.69</v>
      </c>
      <c r="W298" s="43"/>
      <c r="X298" s="43"/>
      <c r="Y298" s="43"/>
      <c r="Z298" s="43"/>
      <c r="AA298" s="43"/>
      <c r="AB298" s="43"/>
      <c r="AC298" s="43"/>
      <c r="AD298" s="43"/>
      <c r="AE298" s="43"/>
      <c r="AF298" s="43"/>
      <c r="AG298" s="43"/>
      <c r="AH298" s="43"/>
      <c r="AI298" s="43"/>
      <c r="AJ298" s="43"/>
      <c r="AK298" s="43"/>
      <c r="AL298" s="43"/>
      <c r="AM298" s="43"/>
      <c r="AN298" s="43"/>
      <c r="AO298" s="43"/>
      <c r="AP298" s="43"/>
      <c r="AQ298" s="43"/>
      <c r="AR298" s="53"/>
      <c r="AS298" s="52"/>
      <c r="AT298" s="43"/>
      <c r="AU298" s="43"/>
      <c r="AV298" s="43"/>
      <c r="AW298" s="43"/>
      <c r="AX298" s="43"/>
      <c r="AY298" s="43"/>
      <c r="AZ298" s="43"/>
      <c r="BA298" s="43"/>
      <c r="BB298" s="43"/>
      <c r="BC298" s="43"/>
      <c r="BD298" s="43"/>
      <c r="BE298" s="43"/>
      <c r="BF298" s="43"/>
      <c r="BG298" s="43"/>
      <c r="BH298" s="43"/>
      <c r="BI298" s="43"/>
      <c r="BJ298" s="43"/>
      <c r="BK298" s="43"/>
      <c r="BL298" s="43"/>
      <c r="BM298" s="43"/>
      <c r="BN298" s="43"/>
      <c r="BO298" s="43"/>
      <c r="BP298" s="43"/>
      <c r="BQ298" s="43"/>
      <c r="BR298" s="43"/>
      <c r="BS298" s="43"/>
      <c r="BT298" s="43"/>
      <c r="BU298" s="43"/>
      <c r="BV298" s="43"/>
      <c r="BW298" s="53"/>
      <c r="BX298" s="30">
        <f t="shared" si="75"/>
        <v>0</v>
      </c>
      <c r="BY298" s="52">
        <f t="shared" si="92"/>
        <v>0</v>
      </c>
      <c r="BZ298" s="43"/>
      <c r="CA298" s="43"/>
      <c r="CB298" s="43"/>
      <c r="CC298" s="43"/>
      <c r="CD298" s="43"/>
      <c r="CE298" s="43"/>
      <c r="CF298" s="43"/>
      <c r="CG298" s="53">
        <f>E298</f>
        <v>73.69</v>
      </c>
      <c r="CH298" s="52"/>
      <c r="CI298" s="43"/>
      <c r="CJ298" s="43"/>
      <c r="CK298" s="43"/>
      <c r="CL298" s="43"/>
      <c r="CM298" s="43"/>
      <c r="CN298" s="43"/>
      <c r="CO298" s="43"/>
      <c r="CP298" s="43"/>
      <c r="CQ298" s="43"/>
      <c r="CR298" s="43"/>
      <c r="CS298" s="43"/>
      <c r="CT298" s="43"/>
      <c r="CU298" s="43"/>
      <c r="CV298" s="43"/>
      <c r="CW298" s="43"/>
      <c r="CX298" s="43"/>
      <c r="CY298" s="43"/>
      <c r="CZ298" s="7"/>
      <c r="DA298" s="7"/>
      <c r="DB298" s="43"/>
      <c r="DC298" s="43"/>
      <c r="DD298" s="53"/>
      <c r="DE298" s="73">
        <f t="shared" si="78"/>
        <v>0</v>
      </c>
      <c r="DG298" s="52"/>
      <c r="DH298" s="43"/>
      <c r="DI298" s="50">
        <f t="shared" si="79"/>
        <v>6628.0433333333322</v>
      </c>
      <c r="DK298" s="52"/>
      <c r="DL298" s="43"/>
      <c r="DM298" s="50">
        <f t="shared" si="80"/>
        <v>4432.51</v>
      </c>
      <c r="DO298" s="52"/>
      <c r="DP298" s="43"/>
      <c r="DQ298" s="50">
        <f t="shared" si="81"/>
        <v>7995.9800000000032</v>
      </c>
      <c r="DT298" s="52"/>
      <c r="DU298" s="43"/>
      <c r="DV298" s="50">
        <f t="shared" si="82"/>
        <v>518.17000000000007</v>
      </c>
      <c r="DX298" s="52"/>
      <c r="DY298" s="43"/>
      <c r="DZ298" s="53">
        <f t="shared" si="83"/>
        <v>617.75</v>
      </c>
      <c r="EB298" s="52"/>
      <c r="EC298" s="43"/>
      <c r="ED298" s="53">
        <f t="shared" si="84"/>
        <v>500</v>
      </c>
      <c r="EF298" s="52"/>
      <c r="EG298" s="43"/>
      <c r="EH298" s="53">
        <f t="shared" si="85"/>
        <v>1048.04</v>
      </c>
      <c r="EJ298" s="65"/>
      <c r="EK298" s="7"/>
      <c r="EL298" s="53">
        <f t="shared" si="86"/>
        <v>25.299999999999997</v>
      </c>
      <c r="EN298" s="51">
        <f t="shared" si="87"/>
        <v>-740.77333333331239</v>
      </c>
      <c r="EP298" s="60">
        <f t="shared" si="88"/>
        <v>0</v>
      </c>
      <c r="EQ298" s="61">
        <f t="shared" si="89"/>
        <v>0</v>
      </c>
      <c r="ER298" s="15">
        <f t="shared" si="90"/>
        <v>0</v>
      </c>
      <c r="ES298" s="62">
        <f t="shared" si="91"/>
        <v>0</v>
      </c>
      <c r="EU298" s="6">
        <v>292</v>
      </c>
    </row>
    <row r="299" spans="1:151" x14ac:dyDescent="0.45">
      <c r="A299" s="9">
        <v>45737</v>
      </c>
      <c r="B299" t="s">
        <v>897</v>
      </c>
      <c r="C299" s="10" t="s">
        <v>185</v>
      </c>
      <c r="D299" s="7"/>
      <c r="E299" s="43"/>
      <c r="F299">
        <v>327.63</v>
      </c>
      <c r="G299" s="16">
        <f t="shared" si="77"/>
        <v>20697.390000000021</v>
      </c>
      <c r="H299" s="64" t="s">
        <v>625</v>
      </c>
      <c r="I299" s="52"/>
      <c r="J299" s="43"/>
      <c r="K299" s="43"/>
      <c r="L299" s="43"/>
      <c r="M299" s="43"/>
      <c r="N299" s="43"/>
      <c r="O299" s="43"/>
      <c r="P299" s="43"/>
      <c r="Q299" s="43"/>
      <c r="R299" s="43"/>
      <c r="S299" s="43"/>
      <c r="T299" s="43"/>
      <c r="U299" s="43"/>
      <c r="V299" s="43"/>
      <c r="W299" s="43"/>
      <c r="X299" s="43"/>
      <c r="Y299" s="43"/>
      <c r="Z299" s="43"/>
      <c r="AA299" s="43"/>
      <c r="AB299" s="43"/>
      <c r="AC299" s="43"/>
      <c r="AD299" s="43"/>
      <c r="AE299" s="43"/>
      <c r="AF299" s="43"/>
      <c r="AG299" s="43"/>
      <c r="AH299" s="43"/>
      <c r="AI299" s="43"/>
      <c r="AJ299" s="43"/>
      <c r="AK299" s="43"/>
      <c r="AL299" s="43"/>
      <c r="AM299" s="43"/>
      <c r="AN299" s="43"/>
      <c r="AO299" s="43"/>
      <c r="AP299" s="43"/>
      <c r="AQ299" s="43"/>
      <c r="AR299" s="53"/>
      <c r="AS299" s="52"/>
      <c r="AT299" s="43"/>
      <c r="AU299" s="43"/>
      <c r="AV299" s="43"/>
      <c r="AW299" s="43"/>
      <c r="AX299" s="43"/>
      <c r="AY299" s="43"/>
      <c r="AZ299" s="43"/>
      <c r="BA299" s="43"/>
      <c r="BB299" s="43"/>
      <c r="BC299" s="43"/>
      <c r="BD299" s="43"/>
      <c r="BE299" s="43"/>
      <c r="BF299" s="43"/>
      <c r="BG299" s="43"/>
      <c r="BH299" s="43"/>
      <c r="BI299" s="43"/>
      <c r="BJ299" s="43"/>
      <c r="BK299" s="43"/>
      <c r="BL299" s="43"/>
      <c r="BM299" s="43"/>
      <c r="BN299" s="43"/>
      <c r="BO299" s="43"/>
      <c r="BP299" s="43"/>
      <c r="BQ299" s="43"/>
      <c r="BR299" s="43"/>
      <c r="BS299" s="43"/>
      <c r="BT299" s="43"/>
      <c r="BU299" s="43"/>
      <c r="BV299" s="43"/>
      <c r="BW299" s="53">
        <v>327.63</v>
      </c>
      <c r="BX299" s="30">
        <f t="shared" si="75"/>
        <v>0</v>
      </c>
      <c r="BY299" s="52">
        <f t="shared" si="92"/>
        <v>0</v>
      </c>
      <c r="BZ299" s="43"/>
      <c r="CA299" s="43"/>
      <c r="CB299" s="43"/>
      <c r="CC299" s="43"/>
      <c r="CD299" s="43"/>
      <c r="CE299" s="43"/>
      <c r="CF299" s="43"/>
      <c r="CG299" s="53"/>
      <c r="CH299" s="52"/>
      <c r="CI299" s="43"/>
      <c r="CJ299" s="43"/>
      <c r="CK299" s="43"/>
      <c r="CL299" s="43"/>
      <c r="CM299" s="43"/>
      <c r="CN299" s="43"/>
      <c r="CO299" s="43"/>
      <c r="CP299" s="43"/>
      <c r="CQ299" s="43"/>
      <c r="CR299" s="43"/>
      <c r="CS299" s="43"/>
      <c r="CT299" s="43"/>
      <c r="CU299" s="43"/>
      <c r="CV299" s="43"/>
      <c r="CW299" s="43"/>
      <c r="CX299" s="43"/>
      <c r="CY299" s="43"/>
      <c r="CZ299" s="7"/>
      <c r="DA299" s="7"/>
      <c r="DB299" s="43"/>
      <c r="DC299" s="43"/>
      <c r="DD299" s="53">
        <f>F299</f>
        <v>327.63</v>
      </c>
      <c r="DE299" s="73">
        <f t="shared" si="78"/>
        <v>0</v>
      </c>
      <c r="DG299" s="52"/>
      <c r="DH299" s="43"/>
      <c r="DI299" s="50">
        <f t="shared" si="79"/>
        <v>6628.0433333333322</v>
      </c>
      <c r="DK299" s="52"/>
      <c r="DL299" s="43"/>
      <c r="DM299" s="50">
        <f t="shared" si="80"/>
        <v>4432.51</v>
      </c>
      <c r="DO299" s="52"/>
      <c r="DP299" s="43"/>
      <c r="DQ299" s="50">
        <f t="shared" si="81"/>
        <v>7995.9800000000032</v>
      </c>
      <c r="DT299" s="52"/>
      <c r="DU299" s="43"/>
      <c r="DV299" s="50">
        <f t="shared" si="82"/>
        <v>518.17000000000007</v>
      </c>
      <c r="DX299" s="52"/>
      <c r="DY299" s="43"/>
      <c r="DZ299" s="53">
        <f t="shared" si="83"/>
        <v>617.75</v>
      </c>
      <c r="EB299" s="52"/>
      <c r="EC299" s="43"/>
      <c r="ED299" s="53">
        <f t="shared" si="84"/>
        <v>500</v>
      </c>
      <c r="EF299" s="52"/>
      <c r="EG299" s="43"/>
      <c r="EH299" s="53">
        <f t="shared" si="85"/>
        <v>1048.04</v>
      </c>
      <c r="EJ299" s="65"/>
      <c r="EK299" s="7"/>
      <c r="EL299" s="53">
        <f t="shared" si="86"/>
        <v>25.299999999999997</v>
      </c>
      <c r="EN299" s="51">
        <f t="shared" si="87"/>
        <v>-1068.4033333333134</v>
      </c>
      <c r="EP299" s="60">
        <f t="shared" si="88"/>
        <v>0</v>
      </c>
      <c r="EQ299" s="61">
        <f t="shared" si="89"/>
        <v>0</v>
      </c>
      <c r="ER299" s="15">
        <f t="shared" si="90"/>
        <v>0</v>
      </c>
      <c r="ES299" s="163">
        <f t="shared" si="91"/>
        <v>0</v>
      </c>
      <c r="ET299" t="s">
        <v>1005</v>
      </c>
      <c r="EU299">
        <v>293</v>
      </c>
    </row>
    <row r="300" spans="1:151" x14ac:dyDescent="0.45">
      <c r="A300" s="67">
        <v>45744</v>
      </c>
      <c r="B300" s="25" t="s">
        <v>1000</v>
      </c>
      <c r="C300" s="10" t="s">
        <v>633</v>
      </c>
      <c r="D300" s="7"/>
      <c r="E300" s="43">
        <v>38.68</v>
      </c>
      <c r="F300" s="43"/>
      <c r="G300" s="16">
        <f t="shared" si="77"/>
        <v>20736.070000000022</v>
      </c>
      <c r="H300" s="64" t="s">
        <v>625</v>
      </c>
      <c r="I300" s="52"/>
      <c r="J300" s="43"/>
      <c r="K300" s="43"/>
      <c r="L300" s="43"/>
      <c r="M300" s="43"/>
      <c r="N300" s="43"/>
      <c r="O300" s="43"/>
      <c r="P300" s="43"/>
      <c r="Q300" s="43"/>
      <c r="R300" s="43"/>
      <c r="S300" s="43"/>
      <c r="T300" s="43"/>
      <c r="U300" s="43"/>
      <c r="V300" s="43"/>
      <c r="W300" s="43"/>
      <c r="X300" s="43"/>
      <c r="Y300" s="43">
        <v>38.68</v>
      </c>
      <c r="Z300" s="43"/>
      <c r="AA300" s="43"/>
      <c r="AB300" s="43"/>
      <c r="AC300" s="43"/>
      <c r="AD300" s="43"/>
      <c r="AE300" s="43"/>
      <c r="AF300" s="43"/>
      <c r="AG300" s="43"/>
      <c r="AH300" s="43"/>
      <c r="AI300" s="43"/>
      <c r="AJ300" s="43"/>
      <c r="AK300" s="43"/>
      <c r="AL300" s="43"/>
      <c r="AM300" s="43"/>
      <c r="AN300" s="43"/>
      <c r="AO300" s="43"/>
      <c r="AP300" s="43"/>
      <c r="AQ300" s="43"/>
      <c r="AR300" s="53"/>
      <c r="AS300" s="52"/>
      <c r="AT300" s="43"/>
      <c r="AU300" s="43"/>
      <c r="AV300" s="43"/>
      <c r="AW300" s="43"/>
      <c r="AX300" s="43"/>
      <c r="AY300" s="43"/>
      <c r="AZ300" s="43"/>
      <c r="BA300" s="43"/>
      <c r="BB300" s="43"/>
      <c r="BC300" s="43"/>
      <c r="BD300" s="43"/>
      <c r="BE300" s="43"/>
      <c r="BF300" s="43"/>
      <c r="BG300" s="43"/>
      <c r="BH300" s="43"/>
      <c r="BI300" s="43"/>
      <c r="BJ300" s="43"/>
      <c r="BK300" s="43"/>
      <c r="BL300" s="43"/>
      <c r="BM300" s="43"/>
      <c r="BN300" s="43"/>
      <c r="BO300" s="43"/>
      <c r="BP300" s="43"/>
      <c r="BQ300" s="43"/>
      <c r="BR300" s="43"/>
      <c r="BS300" s="43"/>
      <c r="BT300" s="43"/>
      <c r="BU300" s="43"/>
      <c r="BV300" s="43"/>
      <c r="BW300" s="53"/>
      <c r="BX300" s="30">
        <f t="shared" si="75"/>
        <v>0</v>
      </c>
      <c r="BY300" s="52">
        <f t="shared" si="92"/>
        <v>0</v>
      </c>
      <c r="BZ300" s="43">
        <f>E300</f>
        <v>38.68</v>
      </c>
      <c r="CA300" s="43"/>
      <c r="CB300" s="43"/>
      <c r="CC300" s="43"/>
      <c r="CD300" s="43"/>
      <c r="CE300" s="43"/>
      <c r="CF300" s="43"/>
      <c r="CG300" s="53"/>
      <c r="CH300" s="52"/>
      <c r="CI300" s="43"/>
      <c r="CJ300" s="43"/>
      <c r="CK300" s="43"/>
      <c r="CL300" s="43"/>
      <c r="CM300" s="43"/>
      <c r="CN300" s="43"/>
      <c r="CO300" s="43"/>
      <c r="CP300" s="43"/>
      <c r="CQ300" s="43"/>
      <c r="CR300" s="43"/>
      <c r="CS300" s="43"/>
      <c r="CT300" s="43"/>
      <c r="CU300" s="43"/>
      <c r="CV300" s="43"/>
      <c r="CW300" s="43"/>
      <c r="CX300" s="43"/>
      <c r="CY300" s="43"/>
      <c r="CZ300" s="7"/>
      <c r="DA300" s="7"/>
      <c r="DB300" s="43"/>
      <c r="DC300" s="43"/>
      <c r="DD300" s="53"/>
      <c r="DE300" s="73">
        <f t="shared" si="78"/>
        <v>0</v>
      </c>
      <c r="DG300" s="52"/>
      <c r="DH300" s="43"/>
      <c r="DI300" s="50">
        <f t="shared" si="79"/>
        <v>6628.0433333333322</v>
      </c>
      <c r="DK300" s="52"/>
      <c r="DL300" s="43"/>
      <c r="DM300" s="50">
        <f t="shared" si="80"/>
        <v>4432.51</v>
      </c>
      <c r="DO300" s="52"/>
      <c r="DP300" s="43"/>
      <c r="DQ300" s="50">
        <f t="shared" si="81"/>
        <v>7995.9800000000032</v>
      </c>
      <c r="DT300" s="52"/>
      <c r="DU300" s="43"/>
      <c r="DV300" s="50">
        <f t="shared" si="82"/>
        <v>518.17000000000007</v>
      </c>
      <c r="DX300" s="52"/>
      <c r="DY300" s="43"/>
      <c r="DZ300" s="53">
        <f t="shared" si="83"/>
        <v>617.75</v>
      </c>
      <c r="EB300" s="52"/>
      <c r="EC300" s="43"/>
      <c r="ED300" s="53">
        <f t="shared" si="84"/>
        <v>500</v>
      </c>
      <c r="EF300" s="52"/>
      <c r="EG300" s="43"/>
      <c r="EH300" s="53">
        <f t="shared" si="85"/>
        <v>1048.04</v>
      </c>
      <c r="EJ300" s="65"/>
      <c r="EK300" s="7"/>
      <c r="EL300" s="53">
        <f t="shared" si="86"/>
        <v>25.299999999999997</v>
      </c>
      <c r="EN300" s="51">
        <f t="shared" si="87"/>
        <v>-1029.7233333333131</v>
      </c>
      <c r="EP300" s="60">
        <f t="shared" si="88"/>
        <v>0</v>
      </c>
      <c r="EQ300" s="61">
        <f t="shared" si="89"/>
        <v>0</v>
      </c>
      <c r="ER300" s="15">
        <f t="shared" si="90"/>
        <v>0</v>
      </c>
      <c r="ES300" s="62">
        <f t="shared" si="91"/>
        <v>0</v>
      </c>
      <c r="EU300" s="6">
        <v>294</v>
      </c>
    </row>
    <row r="301" spans="1:151" x14ac:dyDescent="0.45">
      <c r="A301" s="67">
        <v>45747</v>
      </c>
      <c r="B301" s="25" t="s">
        <v>1001</v>
      </c>
      <c r="C301" s="10" t="s">
        <v>633</v>
      </c>
      <c r="D301" s="7"/>
      <c r="E301" s="43">
        <v>75</v>
      </c>
      <c r="F301" s="43"/>
      <c r="G301" s="16">
        <f t="shared" si="77"/>
        <v>20811.070000000022</v>
      </c>
      <c r="H301" s="64" t="s">
        <v>625</v>
      </c>
      <c r="I301" s="52"/>
      <c r="J301" s="43"/>
      <c r="K301" s="43"/>
      <c r="L301" s="43"/>
      <c r="M301" s="43"/>
      <c r="N301" s="43"/>
      <c r="O301" s="43"/>
      <c r="P301" s="43"/>
      <c r="Q301" s="43"/>
      <c r="R301" s="43"/>
      <c r="S301" s="43"/>
      <c r="T301" s="43"/>
      <c r="U301" s="43"/>
      <c r="V301" s="43"/>
      <c r="W301" s="43"/>
      <c r="X301" s="43"/>
      <c r="Y301" s="43"/>
      <c r="Z301" s="43"/>
      <c r="AA301" s="43"/>
      <c r="AB301" s="43"/>
      <c r="AC301" s="43"/>
      <c r="AD301" s="43"/>
      <c r="AE301" s="43"/>
      <c r="AF301" s="43"/>
      <c r="AG301" s="43"/>
      <c r="AH301" s="43"/>
      <c r="AI301" s="43"/>
      <c r="AJ301" s="43"/>
      <c r="AK301" s="43"/>
      <c r="AL301" s="43">
        <v>75</v>
      </c>
      <c r="AM301" s="43"/>
      <c r="AN301" s="43"/>
      <c r="AO301" s="43"/>
      <c r="AP301" s="43"/>
      <c r="AQ301" s="43"/>
      <c r="AR301" s="53"/>
      <c r="AS301" s="52"/>
      <c r="AT301" s="43"/>
      <c r="AU301" s="43"/>
      <c r="AV301" s="43"/>
      <c r="AW301" s="43"/>
      <c r="AX301" s="43"/>
      <c r="AY301" s="43"/>
      <c r="AZ301" s="43"/>
      <c r="BA301" s="43"/>
      <c r="BB301" s="43"/>
      <c r="BC301" s="43"/>
      <c r="BD301" s="43"/>
      <c r="BE301" s="43"/>
      <c r="BF301" s="43"/>
      <c r="BG301" s="43"/>
      <c r="BH301" s="43"/>
      <c r="BI301" s="43"/>
      <c r="BJ301" s="43"/>
      <c r="BK301" s="43"/>
      <c r="BL301" s="43"/>
      <c r="BM301" s="43"/>
      <c r="BN301" s="43"/>
      <c r="BO301" s="43"/>
      <c r="BP301" s="43"/>
      <c r="BQ301" s="43"/>
      <c r="BR301" s="43"/>
      <c r="BS301" s="43"/>
      <c r="BT301" s="43"/>
      <c r="BU301" s="43"/>
      <c r="BV301" s="43"/>
      <c r="BW301" s="53"/>
      <c r="BX301" s="30">
        <f t="shared" si="75"/>
        <v>0</v>
      </c>
      <c r="BY301" s="52">
        <f>E301</f>
        <v>75</v>
      </c>
      <c r="BZ301" s="43"/>
      <c r="CA301" s="43"/>
      <c r="CB301" s="43"/>
      <c r="CC301" s="43"/>
      <c r="CD301" s="43"/>
      <c r="CE301" s="43"/>
      <c r="CF301" s="43"/>
      <c r="CG301" s="53"/>
      <c r="CH301" s="52"/>
      <c r="CI301" s="43"/>
      <c r="CJ301" s="43"/>
      <c r="CK301" s="43"/>
      <c r="CL301" s="43"/>
      <c r="CM301" s="43"/>
      <c r="CN301" s="43"/>
      <c r="CO301" s="43"/>
      <c r="CP301" s="43"/>
      <c r="CQ301" s="43"/>
      <c r="CR301" s="43"/>
      <c r="CS301" s="43"/>
      <c r="CT301" s="43"/>
      <c r="CU301" s="43"/>
      <c r="CV301" s="43"/>
      <c r="CW301" s="43"/>
      <c r="CX301" s="43"/>
      <c r="CY301" s="43"/>
      <c r="CZ301" s="7"/>
      <c r="DA301" s="7"/>
      <c r="DB301" s="43"/>
      <c r="DC301" s="43"/>
      <c r="DD301" s="53"/>
      <c r="DE301" s="73">
        <f t="shared" si="78"/>
        <v>0</v>
      </c>
      <c r="DG301" s="52"/>
      <c r="DH301" s="43"/>
      <c r="DI301" s="50">
        <f t="shared" si="79"/>
        <v>6628.0433333333322</v>
      </c>
      <c r="DK301" s="52"/>
      <c r="DL301" s="43"/>
      <c r="DM301" s="50">
        <f t="shared" si="80"/>
        <v>4432.51</v>
      </c>
      <c r="DO301" s="52"/>
      <c r="DP301" s="43"/>
      <c r="DQ301" s="50">
        <f t="shared" si="81"/>
        <v>7995.9800000000032</v>
      </c>
      <c r="DT301" s="52"/>
      <c r="DU301" s="43"/>
      <c r="DV301" s="50">
        <f t="shared" si="82"/>
        <v>518.17000000000007</v>
      </c>
      <c r="DX301" s="52"/>
      <c r="DY301" s="43"/>
      <c r="DZ301" s="53">
        <f t="shared" si="83"/>
        <v>617.75</v>
      </c>
      <c r="EB301" s="52"/>
      <c r="EC301" s="43"/>
      <c r="ED301" s="53">
        <f t="shared" si="84"/>
        <v>500</v>
      </c>
      <c r="EF301" s="52"/>
      <c r="EG301" s="43"/>
      <c r="EH301" s="53">
        <f t="shared" si="85"/>
        <v>1048.04</v>
      </c>
      <c r="EJ301" s="65"/>
      <c r="EK301" s="7"/>
      <c r="EL301" s="53">
        <f t="shared" si="86"/>
        <v>25.299999999999997</v>
      </c>
      <c r="EN301" s="51">
        <f t="shared" si="87"/>
        <v>-954.72333333331312</v>
      </c>
      <c r="EP301" s="60">
        <f t="shared" si="88"/>
        <v>0</v>
      </c>
      <c r="EQ301" s="61">
        <f t="shared" si="89"/>
        <v>0</v>
      </c>
      <c r="ER301" s="15">
        <f t="shared" si="90"/>
        <v>0</v>
      </c>
      <c r="ES301" s="163">
        <f t="shared" si="91"/>
        <v>0</v>
      </c>
      <c r="EU301">
        <v>295</v>
      </c>
    </row>
    <row r="302" spans="1:151" x14ac:dyDescent="0.45">
      <c r="A302" s="88"/>
      <c r="B302" s="25"/>
      <c r="C302" s="10"/>
      <c r="D302" s="7"/>
      <c r="E302" s="43"/>
      <c r="F302" s="43"/>
      <c r="G302" s="16">
        <f t="shared" si="77"/>
        <v>20811.070000000022</v>
      </c>
      <c r="H302" s="64"/>
      <c r="I302" s="52"/>
      <c r="J302" s="43"/>
      <c r="K302" s="43"/>
      <c r="L302" s="43"/>
      <c r="M302" s="43"/>
      <c r="N302" s="43"/>
      <c r="O302" s="43"/>
      <c r="P302" s="43"/>
      <c r="Q302" s="43"/>
      <c r="R302" s="43"/>
      <c r="S302" s="43"/>
      <c r="T302" s="43"/>
      <c r="U302" s="43"/>
      <c r="V302" s="43"/>
      <c r="W302" s="43"/>
      <c r="X302" s="43"/>
      <c r="Y302" s="43"/>
      <c r="Z302" s="43"/>
      <c r="AA302" s="43"/>
      <c r="AB302" s="43"/>
      <c r="AC302" s="43"/>
      <c r="AD302" s="43"/>
      <c r="AE302" s="43"/>
      <c r="AF302" s="43"/>
      <c r="AG302" s="43"/>
      <c r="AH302" s="43"/>
      <c r="AI302" s="43"/>
      <c r="AJ302" s="43"/>
      <c r="AK302" s="43"/>
      <c r="AL302" s="43"/>
      <c r="AM302" s="43"/>
      <c r="AN302" s="43"/>
      <c r="AO302" s="43"/>
      <c r="AP302" s="43"/>
      <c r="AQ302" s="43"/>
      <c r="AR302" s="53"/>
      <c r="AS302" s="52"/>
      <c r="AT302" s="43"/>
      <c r="AU302" s="43"/>
      <c r="AV302" s="43"/>
      <c r="AW302" s="43"/>
      <c r="AX302" s="43"/>
      <c r="AY302" s="43"/>
      <c r="AZ302" s="43"/>
      <c r="BA302" s="43"/>
      <c r="BB302" s="43"/>
      <c r="BC302" s="43"/>
      <c r="BD302" s="43"/>
      <c r="BE302" s="43"/>
      <c r="BF302" s="43"/>
      <c r="BG302" s="43"/>
      <c r="BH302" s="43"/>
      <c r="BI302" s="43"/>
      <c r="BJ302" s="43"/>
      <c r="BK302" s="43"/>
      <c r="BL302" s="43"/>
      <c r="BM302" s="43"/>
      <c r="BN302" s="43"/>
      <c r="BO302" s="43"/>
      <c r="BP302" s="43"/>
      <c r="BQ302" s="43"/>
      <c r="BR302" s="43"/>
      <c r="BS302" s="43"/>
      <c r="BT302" s="43"/>
      <c r="BU302" s="43"/>
      <c r="BV302" s="43"/>
      <c r="BW302" s="53"/>
      <c r="BX302" s="30">
        <f t="shared" si="75"/>
        <v>0</v>
      </c>
      <c r="BY302" s="52"/>
      <c r="BZ302" s="43"/>
      <c r="CA302" s="43"/>
      <c r="CB302" s="43"/>
      <c r="CC302" s="43"/>
      <c r="CD302" s="43"/>
      <c r="CE302" s="43"/>
      <c r="CF302" s="43"/>
      <c r="CG302" s="53"/>
      <c r="CH302" s="52"/>
      <c r="CI302" s="43"/>
      <c r="CJ302" s="43"/>
      <c r="CK302" s="43"/>
      <c r="CL302" s="43"/>
      <c r="CM302" s="43"/>
      <c r="CN302" s="43"/>
      <c r="CO302" s="43"/>
      <c r="CP302" s="43"/>
      <c r="CQ302" s="43"/>
      <c r="CR302" s="43"/>
      <c r="CS302" s="43"/>
      <c r="CT302" s="43"/>
      <c r="CU302" s="43"/>
      <c r="CV302" s="43"/>
      <c r="CW302" s="43"/>
      <c r="CX302" s="43"/>
      <c r="CY302" s="43"/>
      <c r="CZ302" s="7"/>
      <c r="DA302" s="7"/>
      <c r="DB302" s="43"/>
      <c r="DC302" s="43"/>
      <c r="DD302" s="53"/>
      <c r="DE302" s="73">
        <f t="shared" si="78"/>
        <v>0</v>
      </c>
      <c r="DG302" s="52"/>
      <c r="DH302" s="43"/>
      <c r="DI302" s="50" t="e">
        <f>SUM(#REF!+DG302-DH302)</f>
        <v>#REF!</v>
      </c>
      <c r="DK302" s="52"/>
      <c r="DL302" s="43"/>
      <c r="DM302" s="50" t="e">
        <f>SUM(#REF!+DK302-DL302)</f>
        <v>#REF!</v>
      </c>
      <c r="DO302" s="52"/>
      <c r="DP302" s="43"/>
      <c r="DQ302" s="50" t="e">
        <f>SUM(#REF!+DO302-DP302)</f>
        <v>#REF!</v>
      </c>
      <c r="DT302" s="52"/>
      <c r="DU302" s="43"/>
      <c r="DV302" s="50" t="e">
        <f>SUM(#REF!+DT302-DU302)</f>
        <v>#REF!</v>
      </c>
      <c r="DX302" s="52"/>
      <c r="DY302" s="43"/>
      <c r="DZ302" s="53" t="e">
        <f>#REF!+DX302-DY302</f>
        <v>#REF!</v>
      </c>
      <c r="EB302" s="52"/>
      <c r="EC302" s="43"/>
      <c r="ED302" s="53" t="e">
        <f>#REF!+EB302-EC302</f>
        <v>#REF!</v>
      </c>
      <c r="EF302" s="52"/>
      <c r="EG302" s="43"/>
      <c r="EH302" s="53" t="e">
        <f>#REF!+EF302-EG302</f>
        <v>#REF!</v>
      </c>
      <c r="EJ302" s="65"/>
      <c r="EK302" s="7"/>
      <c r="EL302" s="53" t="e">
        <f>#REF!+EJ302-EK302</f>
        <v>#REF!</v>
      </c>
      <c r="EN302" s="51" t="e">
        <f>G302-DI302-DM302-DQ302-DZ302-ED302-EH302-EL302</f>
        <v>#REF!</v>
      </c>
      <c r="EP302" s="60" t="e">
        <f>#REF!-#REF!-#REF!-#REF!-#REF!-#REF!-#REF!</f>
        <v>#REF!</v>
      </c>
      <c r="EQ302" s="61">
        <f t="shared" si="89"/>
        <v>0</v>
      </c>
      <c r="ER302" s="15">
        <f>+DP302-BU302-BP302-BK302-BF302-BA302-AU302</f>
        <v>0</v>
      </c>
      <c r="ES302" s="163">
        <f t="shared" si="91"/>
        <v>0</v>
      </c>
      <c r="EU302">
        <v>493</v>
      </c>
    </row>
    <row r="303" spans="1:151" ht="14.65" thickBot="1" x14ac:dyDescent="0.5">
      <c r="A303" s="89"/>
      <c r="B303" s="84"/>
      <c r="C303" s="176"/>
      <c r="D303" s="85"/>
      <c r="E303" s="86"/>
      <c r="F303" s="86"/>
      <c r="G303" s="16">
        <f t="shared" si="77"/>
        <v>20811.070000000022</v>
      </c>
      <c r="H303" s="87"/>
      <c r="I303" s="90"/>
      <c r="J303" s="91"/>
      <c r="K303" s="91"/>
      <c r="L303" s="91"/>
      <c r="M303" s="91"/>
      <c r="N303" s="91"/>
      <c r="O303" s="91"/>
      <c r="P303" s="91"/>
      <c r="Q303" s="91"/>
      <c r="R303" s="91"/>
      <c r="S303" s="91"/>
      <c r="T303" s="91"/>
      <c r="U303" s="91"/>
      <c r="V303" s="91"/>
      <c r="W303" s="91"/>
      <c r="X303" s="91"/>
      <c r="Y303" s="91"/>
      <c r="Z303" s="91"/>
      <c r="AA303" s="91"/>
      <c r="AB303" s="91"/>
      <c r="AC303" s="91"/>
      <c r="AD303" s="91"/>
      <c r="AE303" s="91"/>
      <c r="AF303" s="91"/>
      <c r="AG303" s="91"/>
      <c r="AH303" s="91"/>
      <c r="AI303" s="91"/>
      <c r="AJ303" s="91"/>
      <c r="AK303" s="91"/>
      <c r="AL303" s="91"/>
      <c r="AM303" s="91"/>
      <c r="AN303" s="91"/>
      <c r="AO303" s="91"/>
      <c r="AP303" s="91"/>
      <c r="AQ303" s="91"/>
      <c r="AR303" s="92"/>
      <c r="AS303" s="90"/>
      <c r="AT303" s="91"/>
      <c r="AU303" s="91"/>
      <c r="AV303" s="91"/>
      <c r="AW303" s="91"/>
      <c r="AX303" s="91"/>
      <c r="AY303" s="91"/>
      <c r="AZ303" s="91"/>
      <c r="BA303" s="91"/>
      <c r="BB303" s="91"/>
      <c r="BC303" s="91"/>
      <c r="BD303" s="91"/>
      <c r="BE303" s="91"/>
      <c r="BF303" s="91"/>
      <c r="BG303" s="91"/>
      <c r="BH303" s="91"/>
      <c r="BI303" s="91"/>
      <c r="BJ303" s="91"/>
      <c r="BK303" s="91"/>
      <c r="BL303" s="91"/>
      <c r="BM303" s="91"/>
      <c r="BN303" s="91"/>
      <c r="BO303" s="91"/>
      <c r="BP303" s="91"/>
      <c r="BQ303" s="91"/>
      <c r="BR303" s="91"/>
      <c r="BS303" s="91"/>
      <c r="BT303" s="91"/>
      <c r="BU303" s="91"/>
      <c r="BV303" s="91"/>
      <c r="BW303" s="92"/>
      <c r="BX303" s="30">
        <f t="shared" si="75"/>
        <v>0</v>
      </c>
      <c r="BY303" s="90">
        <f t="shared" ref="BY303:DD303" si="93">SUM(BY6:BY302)</f>
        <v>3111.2099999999996</v>
      </c>
      <c r="BZ303" s="91">
        <f t="shared" si="93"/>
        <v>16233.309999999998</v>
      </c>
      <c r="CA303" s="91">
        <f t="shared" si="93"/>
        <v>4438.5</v>
      </c>
      <c r="CB303" s="91">
        <f t="shared" si="93"/>
        <v>237.35</v>
      </c>
      <c r="CC303" s="91">
        <f t="shared" si="93"/>
        <v>89.73</v>
      </c>
      <c r="CD303" s="91">
        <f t="shared" si="93"/>
        <v>0</v>
      </c>
      <c r="CE303" s="91">
        <f t="shared" si="93"/>
        <v>1050</v>
      </c>
      <c r="CF303" s="91">
        <f t="shared" si="93"/>
        <v>0</v>
      </c>
      <c r="CG303" s="92">
        <f t="shared" si="93"/>
        <v>1321.9499999999998</v>
      </c>
      <c r="CH303" s="90">
        <f t="shared" si="93"/>
        <v>90</v>
      </c>
      <c r="CI303" s="91">
        <f t="shared" si="93"/>
        <v>25</v>
      </c>
      <c r="CJ303" s="91">
        <f t="shared" si="93"/>
        <v>0</v>
      </c>
      <c r="CK303" s="91">
        <f t="shared" si="93"/>
        <v>1223</v>
      </c>
      <c r="CL303" s="91">
        <f t="shared" si="93"/>
        <v>1615.16</v>
      </c>
      <c r="CM303" s="91">
        <f t="shared" si="93"/>
        <v>7047.78</v>
      </c>
      <c r="CN303" s="91">
        <f t="shared" si="93"/>
        <v>153</v>
      </c>
      <c r="CO303" s="91">
        <f t="shared" si="93"/>
        <v>339.09</v>
      </c>
      <c r="CP303" s="91">
        <f t="shared" si="93"/>
        <v>6017.1699999999992</v>
      </c>
      <c r="CQ303" s="91">
        <f t="shared" si="93"/>
        <v>369.47</v>
      </c>
      <c r="CR303" s="91">
        <f t="shared" si="93"/>
        <v>0</v>
      </c>
      <c r="CS303" s="91">
        <f t="shared" si="93"/>
        <v>0</v>
      </c>
      <c r="CT303" s="91">
        <f t="shared" si="93"/>
        <v>155.01</v>
      </c>
      <c r="CU303" s="91">
        <f t="shared" si="93"/>
        <v>0</v>
      </c>
      <c r="CV303" s="91">
        <f t="shared" si="93"/>
        <v>38.14</v>
      </c>
      <c r="CW303" s="91">
        <f t="shared" si="93"/>
        <v>0</v>
      </c>
      <c r="CX303" s="91">
        <f t="shared" si="93"/>
        <v>493.15</v>
      </c>
      <c r="CY303" s="91">
        <f t="shared" si="93"/>
        <v>0</v>
      </c>
      <c r="CZ303" s="93">
        <f t="shared" si="93"/>
        <v>74.7</v>
      </c>
      <c r="DA303" s="93">
        <f t="shared" si="93"/>
        <v>160</v>
      </c>
      <c r="DB303" s="91">
        <f t="shared" si="93"/>
        <v>589.23000000000059</v>
      </c>
      <c r="DC303" s="91">
        <f t="shared" si="93"/>
        <v>176.96</v>
      </c>
      <c r="DD303" s="92">
        <f t="shared" si="93"/>
        <v>2305.2000000000003</v>
      </c>
      <c r="DE303" s="73">
        <f t="shared" si="78"/>
        <v>-47354.109999999993</v>
      </c>
      <c r="DG303" s="90"/>
      <c r="DH303" s="91"/>
      <c r="DI303" s="50" t="e">
        <f>SUM(DI302+DG303-DH303)</f>
        <v>#REF!</v>
      </c>
      <c r="DK303" s="90"/>
      <c r="DL303" s="91"/>
      <c r="DM303" s="50" t="e">
        <f>SUM(DM302+DK303-DL303)</f>
        <v>#REF!</v>
      </c>
      <c r="DO303" s="90"/>
      <c r="DP303" s="91"/>
      <c r="DQ303" s="50" t="e">
        <f>SUM(DQ302+DO303-DP303)</f>
        <v>#REF!</v>
      </c>
      <c r="DT303" s="90"/>
      <c r="DU303" s="91"/>
      <c r="DV303" s="50" t="e">
        <f>SUM(DV302+DT303-DU303)</f>
        <v>#REF!</v>
      </c>
      <c r="DX303" s="90"/>
      <c r="DY303" s="91"/>
      <c r="DZ303" s="53" t="e">
        <f>DZ302+DX303-DY303</f>
        <v>#REF!</v>
      </c>
      <c r="EB303" s="90"/>
      <c r="EC303" s="91"/>
      <c r="ED303" s="53" t="e">
        <f>ED302+EB303-EC303</f>
        <v>#REF!</v>
      </c>
      <c r="EF303" s="90"/>
      <c r="EG303" s="91"/>
      <c r="EH303" s="53" t="e">
        <f>EH302+EF303-EG303</f>
        <v>#REF!</v>
      </c>
      <c r="EJ303" s="94"/>
      <c r="EK303" s="93"/>
      <c r="EL303" s="53" t="e">
        <f>EL302+EJ303-EK303</f>
        <v>#REF!</v>
      </c>
      <c r="EN303" s="51" t="e">
        <f>G303-DI303-DM303-DQ303-DZ303-ED303-EH303-EL303</f>
        <v>#REF!</v>
      </c>
      <c r="EP303" s="60">
        <f>DH302-AS302-AX302-BD302-BI302-BN302-BS302</f>
        <v>0</v>
      </c>
      <c r="EQ303" s="61">
        <f t="shared" si="89"/>
        <v>0</v>
      </c>
      <c r="ER303" s="15">
        <f>+DP303-BU303-BP303-BK303-BF303-BA303-AU303</f>
        <v>0</v>
      </c>
      <c r="ES303" s="62">
        <f t="shared" si="91"/>
        <v>-20998.889999999996</v>
      </c>
      <c r="EU303" s="6">
        <v>494</v>
      </c>
    </row>
    <row r="304" spans="1:151" ht="14.65" thickTop="1" x14ac:dyDescent="0.45">
      <c r="G304" s="15">
        <f>G7+CG304-DD304-G303</f>
        <v>0</v>
      </c>
      <c r="CG304" s="15">
        <f>SUM(BY303:CG303)</f>
        <v>26482.049999999996</v>
      </c>
      <c r="DD304" s="15">
        <f>SUM(CH303:DD303)</f>
        <v>20872.059999999998</v>
      </c>
    </row>
    <row r="305" spans="2:6" x14ac:dyDescent="0.45">
      <c r="B305" s="6" t="s">
        <v>1122</v>
      </c>
      <c r="E305" s="15">
        <f>SUM(E1:E303)</f>
        <v>26482.05</v>
      </c>
      <c r="F305" s="15">
        <f>SUM(F1:F303)</f>
        <v>20872.059999999979</v>
      </c>
    </row>
    <row r="306" spans="2:6" x14ac:dyDescent="0.45">
      <c r="B306" s="6" t="s">
        <v>1123</v>
      </c>
    </row>
  </sheetData>
  <autoFilter ref="A6:EU303" xr:uid="{00000000-0009-0000-0000-000005000000}">
    <sortState xmlns:xlrd2="http://schemas.microsoft.com/office/spreadsheetml/2017/richdata2" ref="A7:EU303">
      <sortCondition sortBy="cellColor" ref="CW6:CW303" dxfId="0"/>
    </sortState>
  </autoFilter>
  <sortState xmlns:xlrd2="http://schemas.microsoft.com/office/spreadsheetml/2017/richdata2" ref="A7:EU301">
    <sortCondition ref="EU7:EU301"/>
  </sortState>
  <mergeCells count="23">
    <mergeCell ref="BN4:BR4"/>
    <mergeCell ref="I4:M4"/>
    <mergeCell ref="N4:R4"/>
    <mergeCell ref="S4:W4"/>
    <mergeCell ref="X4:AC4"/>
    <mergeCell ref="AD4:AH4"/>
    <mergeCell ref="AI4:AM4"/>
    <mergeCell ref="AN4:AR4"/>
    <mergeCell ref="AS4:AW4"/>
    <mergeCell ref="AX4:BC4"/>
    <mergeCell ref="BD4:BH4"/>
    <mergeCell ref="BI4:BM4"/>
    <mergeCell ref="EF4:EH4"/>
    <mergeCell ref="EJ4:EL4"/>
    <mergeCell ref="BY5:CG5"/>
    <mergeCell ref="CH5:DD5"/>
    <mergeCell ref="BS4:BW4"/>
    <mergeCell ref="DG4:DI4"/>
    <mergeCell ref="DK4:DM4"/>
    <mergeCell ref="DO4:DQ4"/>
    <mergeCell ref="DX4:DZ4"/>
    <mergeCell ref="EB4:ED4"/>
    <mergeCell ref="DT4:DV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P99"/>
  <sheetViews>
    <sheetView topLeftCell="A30" workbookViewId="0">
      <selection activeCell="F67" sqref="F67"/>
    </sheetView>
  </sheetViews>
  <sheetFormatPr defaultRowHeight="14.25" x14ac:dyDescent="0.45"/>
  <cols>
    <col min="1" max="1" width="10.53125" bestFit="1" customWidth="1"/>
    <col min="3" max="3" width="18.1328125" customWidth="1"/>
    <col min="4" max="4" width="20.33203125" customWidth="1"/>
    <col min="5" max="5" width="26.33203125" bestFit="1" customWidth="1"/>
    <col min="6" max="6" width="11" bestFit="1" customWidth="1"/>
    <col min="9" max="9" width="11" bestFit="1" customWidth="1"/>
    <col min="10" max="10" width="9" bestFit="1" customWidth="1"/>
    <col min="13" max="13" width="10.53125" bestFit="1" customWidth="1"/>
    <col min="15" max="15" width="10.53125" bestFit="1" customWidth="1"/>
  </cols>
  <sheetData>
    <row r="1" spans="1:16" x14ac:dyDescent="0.45">
      <c r="A1" s="96">
        <v>2</v>
      </c>
      <c r="B1" s="97" t="s">
        <v>298</v>
      </c>
      <c r="C1" s="98" t="s">
        <v>321</v>
      </c>
      <c r="D1" s="159" t="s">
        <v>1</v>
      </c>
      <c r="E1" s="97" t="s">
        <v>322</v>
      </c>
      <c r="F1" s="97" t="s">
        <v>2</v>
      </c>
      <c r="G1" s="99"/>
      <c r="H1" s="100"/>
      <c r="I1" s="101"/>
      <c r="J1" s="102"/>
    </row>
    <row r="2" spans="1:16" x14ac:dyDescent="0.45">
      <c r="A2" s="96">
        <v>4</v>
      </c>
      <c r="B2" s="97" t="s">
        <v>219</v>
      </c>
      <c r="C2" s="98" t="s">
        <v>383</v>
      </c>
      <c r="D2" s="159" t="s">
        <v>3</v>
      </c>
      <c r="E2" s="97" t="s">
        <v>372</v>
      </c>
      <c r="F2" s="97" t="s">
        <v>4</v>
      </c>
      <c r="G2" s="99"/>
      <c r="H2" s="100"/>
      <c r="I2" s="101"/>
      <c r="J2" s="102"/>
    </row>
    <row r="3" spans="1:16" x14ac:dyDescent="0.45">
      <c r="A3" s="96">
        <v>94</v>
      </c>
      <c r="B3" s="97" t="s">
        <v>203</v>
      </c>
      <c r="C3" s="98" t="s">
        <v>662</v>
      </c>
      <c r="D3" s="159" t="s">
        <v>663</v>
      </c>
      <c r="E3" s="97" t="s">
        <v>441</v>
      </c>
      <c r="F3" s="97" t="s">
        <v>34</v>
      </c>
      <c r="G3" s="99"/>
      <c r="H3" s="100"/>
      <c r="I3" s="101"/>
      <c r="J3" s="102"/>
    </row>
    <row r="4" spans="1:16" x14ac:dyDescent="0.45">
      <c r="A4" s="96">
        <v>6</v>
      </c>
      <c r="B4" s="97" t="s">
        <v>203</v>
      </c>
      <c r="C4" s="98" t="s">
        <v>479</v>
      </c>
      <c r="D4" s="159" t="s">
        <v>650</v>
      </c>
      <c r="E4" s="125">
        <v>6</v>
      </c>
      <c r="F4" s="107" t="s">
        <v>66</v>
      </c>
      <c r="G4" s="99"/>
      <c r="H4" s="100"/>
      <c r="I4" s="101"/>
      <c r="J4" s="102"/>
    </row>
    <row r="5" spans="1:16" x14ac:dyDescent="0.45">
      <c r="A5" s="96">
        <v>8</v>
      </c>
      <c r="B5" s="97" t="s">
        <v>222</v>
      </c>
      <c r="C5" s="98" t="s">
        <v>275</v>
      </c>
      <c r="D5" s="159" t="s">
        <v>442</v>
      </c>
      <c r="E5" s="97" t="s">
        <v>396</v>
      </c>
      <c r="F5" s="97" t="s">
        <v>68</v>
      </c>
      <c r="G5" s="99"/>
      <c r="H5" s="100"/>
      <c r="I5" s="101"/>
      <c r="J5" s="102"/>
    </row>
    <row r="6" spans="1:16" x14ac:dyDescent="0.45">
      <c r="A6" s="96">
        <v>9</v>
      </c>
      <c r="B6" s="97" t="s">
        <v>200</v>
      </c>
      <c r="C6" s="98" t="s">
        <v>201</v>
      </c>
      <c r="D6" s="159" t="s">
        <v>5</v>
      </c>
      <c r="E6" s="97" t="s">
        <v>202</v>
      </c>
      <c r="F6" s="97" t="s">
        <v>6</v>
      </c>
      <c r="G6" s="99"/>
      <c r="H6" s="100"/>
      <c r="I6" s="101"/>
      <c r="J6" s="102"/>
    </row>
    <row r="7" spans="1:16" x14ac:dyDescent="0.45">
      <c r="A7" s="96">
        <v>98</v>
      </c>
      <c r="B7" s="97" t="s">
        <v>203</v>
      </c>
      <c r="C7" s="98" t="s">
        <v>670</v>
      </c>
      <c r="D7" s="159" t="s">
        <v>543</v>
      </c>
      <c r="E7" s="97" t="s">
        <v>671</v>
      </c>
      <c r="F7" s="97" t="s">
        <v>64</v>
      </c>
      <c r="G7" s="99"/>
      <c r="H7" s="100"/>
      <c r="I7" s="101"/>
      <c r="J7" s="102"/>
    </row>
    <row r="8" spans="1:16" x14ac:dyDescent="0.45">
      <c r="A8" s="96">
        <v>10</v>
      </c>
      <c r="B8" s="97" t="s">
        <v>222</v>
      </c>
      <c r="C8" s="98" t="s">
        <v>418</v>
      </c>
      <c r="D8" s="159" t="s">
        <v>419</v>
      </c>
      <c r="E8" s="97" t="s">
        <v>56</v>
      </c>
      <c r="F8" s="97" t="s">
        <v>57</v>
      </c>
      <c r="G8" s="99"/>
      <c r="H8" s="100"/>
      <c r="I8" s="101"/>
      <c r="J8" s="102"/>
    </row>
    <row r="9" spans="1:16" x14ac:dyDescent="0.45">
      <c r="A9" s="96">
        <v>15</v>
      </c>
      <c r="B9" s="97" t="s">
        <v>200</v>
      </c>
      <c r="C9" s="98" t="s">
        <v>213</v>
      </c>
      <c r="D9" s="159" t="s">
        <v>17</v>
      </c>
      <c r="E9" s="97" t="s">
        <v>544</v>
      </c>
      <c r="F9" s="97" t="s">
        <v>360</v>
      </c>
      <c r="G9" s="99"/>
      <c r="H9" s="100"/>
      <c r="I9" s="147"/>
      <c r="J9" s="102"/>
    </row>
    <row r="10" spans="1:16" x14ac:dyDescent="0.45">
      <c r="A10" s="96">
        <v>11</v>
      </c>
      <c r="B10" s="98" t="s">
        <v>219</v>
      </c>
      <c r="C10" s="98" t="s">
        <v>668</v>
      </c>
      <c r="D10" s="160" t="s">
        <v>294</v>
      </c>
      <c r="E10" s="98" t="s">
        <v>295</v>
      </c>
      <c r="F10" s="98" t="s">
        <v>8</v>
      </c>
      <c r="G10" s="99"/>
      <c r="H10" s="100"/>
      <c r="I10" s="101"/>
      <c r="J10" s="102"/>
    </row>
    <row r="11" spans="1:16" x14ac:dyDescent="0.45">
      <c r="A11" s="96">
        <v>12</v>
      </c>
      <c r="B11" s="97" t="s">
        <v>219</v>
      </c>
      <c r="C11" s="98" t="s">
        <v>484</v>
      </c>
      <c r="D11" s="159" t="s">
        <v>69</v>
      </c>
      <c r="E11" s="125">
        <v>33</v>
      </c>
      <c r="F11" s="97" t="s">
        <v>70</v>
      </c>
      <c r="G11" s="99"/>
      <c r="H11" s="100"/>
      <c r="I11" s="101"/>
      <c r="J11" s="102"/>
    </row>
    <row r="12" spans="1:16" x14ac:dyDescent="0.45">
      <c r="A12" s="96">
        <v>14</v>
      </c>
      <c r="B12" s="97" t="s">
        <v>219</v>
      </c>
      <c r="C12" s="98" t="s">
        <v>105</v>
      </c>
      <c r="D12" s="159" t="s">
        <v>90</v>
      </c>
      <c r="E12" s="97" t="s">
        <v>557</v>
      </c>
      <c r="F12" s="97" t="s">
        <v>558</v>
      </c>
      <c r="G12" s="99"/>
      <c r="H12" s="100"/>
      <c r="I12" s="101"/>
      <c r="J12" s="102"/>
    </row>
    <row r="13" spans="1:16" x14ac:dyDescent="0.45">
      <c r="A13" s="96">
        <v>19</v>
      </c>
      <c r="B13" s="97" t="s">
        <v>219</v>
      </c>
      <c r="C13" s="98" t="s">
        <v>602</v>
      </c>
      <c r="D13" s="159" t="s">
        <v>601</v>
      </c>
      <c r="E13" s="97" t="s">
        <v>211</v>
      </c>
      <c r="F13" s="97" t="s">
        <v>230</v>
      </c>
      <c r="G13" s="107"/>
      <c r="H13" s="107"/>
      <c r="I13" s="148"/>
      <c r="J13" s="102"/>
    </row>
    <row r="14" spans="1:16" s="120" customFormat="1" x14ac:dyDescent="0.45">
      <c r="A14" s="96">
        <v>16</v>
      </c>
      <c r="B14" s="124" t="s">
        <v>203</v>
      </c>
      <c r="C14" s="124" t="s">
        <v>472</v>
      </c>
      <c r="D14" s="124" t="s">
        <v>91</v>
      </c>
      <c r="E14" s="119">
        <v>48</v>
      </c>
      <c r="F14" s="124" t="s">
        <v>6</v>
      </c>
      <c r="G14" s="128"/>
      <c r="H14" s="129"/>
      <c r="I14" s="130"/>
      <c r="J14" s="102"/>
      <c r="K14"/>
      <c r="L14"/>
      <c r="M14"/>
      <c r="N14"/>
      <c r="O14"/>
      <c r="P14"/>
    </row>
    <row r="15" spans="1:16" x14ac:dyDescent="0.45">
      <c r="A15" s="96">
        <v>97</v>
      </c>
      <c r="B15" s="97" t="s">
        <v>262</v>
      </c>
      <c r="C15" s="98" t="s">
        <v>335</v>
      </c>
      <c r="D15" s="159" t="s">
        <v>9</v>
      </c>
      <c r="E15" s="97" t="s">
        <v>667</v>
      </c>
      <c r="F15" s="97" t="s">
        <v>558</v>
      </c>
      <c r="G15" s="99"/>
      <c r="H15" s="100"/>
      <c r="I15" s="101"/>
      <c r="J15" s="102"/>
    </row>
    <row r="16" spans="1:16" x14ac:dyDescent="0.45">
      <c r="A16" s="96">
        <v>17</v>
      </c>
      <c r="B16" s="97" t="s">
        <v>298</v>
      </c>
      <c r="C16" s="98" t="s">
        <v>420</v>
      </c>
      <c r="D16" s="159" t="s">
        <v>10</v>
      </c>
      <c r="E16" s="97" t="s">
        <v>421</v>
      </c>
      <c r="F16" s="97" t="s">
        <v>11</v>
      </c>
      <c r="G16" s="99"/>
      <c r="H16" s="100"/>
      <c r="I16" s="101"/>
      <c r="J16" s="102"/>
    </row>
    <row r="17" spans="1:16" x14ac:dyDescent="0.45">
      <c r="A17" s="96">
        <v>83</v>
      </c>
      <c r="B17" s="97"/>
      <c r="C17" s="98" t="s">
        <v>658</v>
      </c>
      <c r="D17" s="159" t="s">
        <v>94</v>
      </c>
      <c r="E17" s="97" t="s">
        <v>469</v>
      </c>
      <c r="F17" s="97" t="s">
        <v>6</v>
      </c>
      <c r="G17" s="99"/>
      <c r="H17" s="100"/>
      <c r="I17" s="101"/>
      <c r="J17" s="102"/>
    </row>
    <row r="18" spans="1:16" x14ac:dyDescent="0.45">
      <c r="A18" s="96">
        <v>20</v>
      </c>
      <c r="B18" s="97" t="s">
        <v>200</v>
      </c>
      <c r="C18" s="98" t="s">
        <v>443</v>
      </c>
      <c r="D18" s="159" t="s">
        <v>71</v>
      </c>
      <c r="E18" s="97" t="s">
        <v>444</v>
      </c>
      <c r="F18" s="97" t="s">
        <v>72</v>
      </c>
      <c r="G18" s="99"/>
      <c r="H18" s="100"/>
      <c r="I18" s="101"/>
      <c r="J18" s="102"/>
    </row>
    <row r="19" spans="1:16" x14ac:dyDescent="0.45">
      <c r="A19" s="96">
        <v>21</v>
      </c>
      <c r="B19" s="97" t="s">
        <v>222</v>
      </c>
      <c r="C19" s="98" t="s">
        <v>323</v>
      </c>
      <c r="D19" s="159" t="s">
        <v>324</v>
      </c>
      <c r="E19" s="97" t="s">
        <v>253</v>
      </c>
      <c r="F19" s="97" t="s">
        <v>32</v>
      </c>
      <c r="G19" s="99"/>
      <c r="H19" s="100"/>
      <c r="I19" s="101"/>
      <c r="J19" s="102"/>
      <c r="K19" s="120"/>
      <c r="L19" s="120"/>
      <c r="M19" s="120"/>
      <c r="N19" s="120"/>
      <c r="O19" s="120"/>
      <c r="P19" s="120"/>
    </row>
    <row r="20" spans="1:16" x14ac:dyDescent="0.45">
      <c r="A20" s="96">
        <v>22</v>
      </c>
      <c r="B20" s="98" t="s">
        <v>219</v>
      </c>
      <c r="C20" s="98" t="s">
        <v>28</v>
      </c>
      <c r="D20" s="160" t="s">
        <v>13</v>
      </c>
      <c r="E20" s="98" t="s">
        <v>14</v>
      </c>
      <c r="F20" s="98" t="s">
        <v>15</v>
      </c>
      <c r="G20" s="99"/>
      <c r="H20" s="100"/>
      <c r="I20" s="101"/>
      <c r="J20" s="102"/>
    </row>
    <row r="21" spans="1:16" x14ac:dyDescent="0.45">
      <c r="A21" s="96">
        <v>23</v>
      </c>
      <c r="B21" s="98" t="s">
        <v>298</v>
      </c>
      <c r="C21" s="98" t="s">
        <v>377</v>
      </c>
      <c r="D21" s="160" t="s">
        <v>73</v>
      </c>
      <c r="E21" s="98" t="s">
        <v>533</v>
      </c>
      <c r="F21" s="98" t="s">
        <v>74</v>
      </c>
      <c r="G21" s="99"/>
      <c r="H21" s="100"/>
      <c r="I21" s="101"/>
      <c r="J21" s="102"/>
    </row>
    <row r="22" spans="1:16" x14ac:dyDescent="0.45">
      <c r="A22" s="96">
        <v>25</v>
      </c>
      <c r="B22" s="97" t="s">
        <v>222</v>
      </c>
      <c r="C22" s="98" t="s">
        <v>333</v>
      </c>
      <c r="D22" s="159" t="s">
        <v>75</v>
      </c>
      <c r="E22" s="97" t="s">
        <v>334</v>
      </c>
      <c r="F22" s="97" t="s">
        <v>76</v>
      </c>
      <c r="G22" s="99"/>
      <c r="H22" s="100"/>
      <c r="I22" s="101"/>
      <c r="J22" s="102"/>
    </row>
    <row r="23" spans="1:16" x14ac:dyDescent="0.45">
      <c r="A23" s="96">
        <v>27</v>
      </c>
      <c r="B23" s="97" t="s">
        <v>222</v>
      </c>
      <c r="C23" s="98" t="s">
        <v>296</v>
      </c>
      <c r="D23" s="159" t="s">
        <v>16</v>
      </c>
      <c r="E23" s="97" t="s">
        <v>297</v>
      </c>
      <c r="F23" s="97" t="s">
        <v>18</v>
      </c>
      <c r="G23" s="99"/>
      <c r="H23" s="100"/>
      <c r="I23" s="101"/>
      <c r="J23" s="102"/>
    </row>
    <row r="24" spans="1:16" x14ac:dyDescent="0.45">
      <c r="A24" s="96">
        <v>29</v>
      </c>
      <c r="B24" s="97" t="s">
        <v>203</v>
      </c>
      <c r="C24" s="98" t="s">
        <v>509</v>
      </c>
      <c r="D24" s="159" t="s">
        <v>95</v>
      </c>
      <c r="E24" s="97" t="s">
        <v>510</v>
      </c>
      <c r="F24" s="97" t="s">
        <v>511</v>
      </c>
      <c r="G24" s="99"/>
      <c r="H24" s="100"/>
      <c r="I24" s="101"/>
      <c r="J24" s="102"/>
    </row>
    <row r="25" spans="1:16" x14ac:dyDescent="0.45">
      <c r="A25" s="96">
        <v>26</v>
      </c>
      <c r="B25" s="97" t="s">
        <v>203</v>
      </c>
      <c r="C25" s="98" t="s">
        <v>581</v>
      </c>
      <c r="D25" s="159" t="s">
        <v>19</v>
      </c>
      <c r="E25" s="97" t="s">
        <v>441</v>
      </c>
      <c r="F25" s="97" t="s">
        <v>582</v>
      </c>
      <c r="G25" s="99"/>
      <c r="H25" s="100"/>
      <c r="I25" s="147"/>
      <c r="J25" s="102"/>
    </row>
    <row r="26" spans="1:16" x14ac:dyDescent="0.45">
      <c r="A26" s="96">
        <v>31</v>
      </c>
      <c r="B26" s="98" t="s">
        <v>222</v>
      </c>
      <c r="C26" s="98" t="s">
        <v>201</v>
      </c>
      <c r="D26" s="160" t="s">
        <v>502</v>
      </c>
      <c r="E26" s="98" t="s">
        <v>503</v>
      </c>
      <c r="F26" s="105" t="s">
        <v>329</v>
      </c>
      <c r="G26" s="99"/>
      <c r="H26" s="100"/>
      <c r="I26" s="101"/>
      <c r="J26" s="102"/>
    </row>
    <row r="27" spans="1:16" x14ac:dyDescent="0.45">
      <c r="A27" s="96">
        <v>32</v>
      </c>
      <c r="B27" s="98" t="s">
        <v>222</v>
      </c>
      <c r="C27" s="98" t="s">
        <v>583</v>
      </c>
      <c r="D27" s="160" t="s">
        <v>502</v>
      </c>
      <c r="E27" s="98" t="s">
        <v>584</v>
      </c>
      <c r="F27" s="98" t="s">
        <v>26</v>
      </c>
      <c r="G27" s="99"/>
      <c r="H27" s="100"/>
      <c r="I27" s="147"/>
      <c r="J27" s="102"/>
    </row>
    <row r="28" spans="1:16" x14ac:dyDescent="0.45">
      <c r="A28" s="96">
        <v>96</v>
      </c>
      <c r="B28" s="97" t="s">
        <v>203</v>
      </c>
      <c r="C28" s="98" t="s">
        <v>665</v>
      </c>
      <c r="D28" s="159" t="s">
        <v>220</v>
      </c>
      <c r="E28" s="97" t="s">
        <v>372</v>
      </c>
      <c r="F28" s="97" t="s">
        <v>666</v>
      </c>
      <c r="G28" s="99"/>
      <c r="H28" s="100"/>
      <c r="I28" s="101"/>
      <c r="J28" s="102"/>
    </row>
    <row r="29" spans="1:16" x14ac:dyDescent="0.45">
      <c r="A29" s="96">
        <v>34</v>
      </c>
      <c r="B29" s="97" t="s">
        <v>203</v>
      </c>
      <c r="C29" s="98" t="s">
        <v>594</v>
      </c>
      <c r="D29" s="159" t="s">
        <v>98</v>
      </c>
      <c r="E29" s="125">
        <v>18</v>
      </c>
      <c r="F29" s="97" t="s">
        <v>114</v>
      </c>
      <c r="G29" s="99"/>
      <c r="H29" s="100"/>
      <c r="I29" s="147"/>
      <c r="J29" s="102"/>
    </row>
    <row r="30" spans="1:16" x14ac:dyDescent="0.45">
      <c r="A30" s="96">
        <v>37</v>
      </c>
      <c r="B30" s="97" t="s">
        <v>203</v>
      </c>
      <c r="C30" s="98" t="s">
        <v>351</v>
      </c>
      <c r="D30" s="159" t="s">
        <v>20</v>
      </c>
      <c r="E30" s="97" t="s">
        <v>22</v>
      </c>
      <c r="F30" s="97" t="s">
        <v>23</v>
      </c>
      <c r="G30" s="99"/>
      <c r="H30" s="100"/>
      <c r="I30" s="101"/>
      <c r="J30" s="102"/>
    </row>
    <row r="31" spans="1:16" x14ac:dyDescent="0.45">
      <c r="A31" s="96">
        <v>38</v>
      </c>
      <c r="B31" s="97" t="s">
        <v>298</v>
      </c>
      <c r="C31" s="98" t="s">
        <v>495</v>
      </c>
      <c r="D31" s="159" t="s">
        <v>24</v>
      </c>
      <c r="E31" s="97" t="s">
        <v>496</v>
      </c>
      <c r="F31" s="97" t="s">
        <v>76</v>
      </c>
      <c r="G31" s="99"/>
      <c r="H31" s="100"/>
      <c r="I31" s="101"/>
      <c r="J31" s="102"/>
      <c r="L31" s="117"/>
    </row>
    <row r="32" spans="1:16" x14ac:dyDescent="0.45">
      <c r="A32" s="96">
        <v>99</v>
      </c>
      <c r="B32" s="97"/>
      <c r="C32" s="98" t="s">
        <v>674</v>
      </c>
      <c r="D32" s="159" t="s">
        <v>482</v>
      </c>
      <c r="E32" s="97" t="s">
        <v>455</v>
      </c>
      <c r="F32" s="97" t="s">
        <v>70</v>
      </c>
      <c r="G32" s="99"/>
      <c r="H32" s="100"/>
      <c r="I32" s="101"/>
      <c r="J32" s="102"/>
    </row>
    <row r="33" spans="1:11" x14ac:dyDescent="0.45">
      <c r="A33" s="96">
        <v>43</v>
      </c>
      <c r="B33" s="97" t="s">
        <v>219</v>
      </c>
      <c r="C33" s="98" t="s">
        <v>573</v>
      </c>
      <c r="D33" s="159" t="s">
        <v>574</v>
      </c>
      <c r="E33" s="97" t="s">
        <v>441</v>
      </c>
      <c r="F33" s="97" t="s">
        <v>575</v>
      </c>
      <c r="G33" s="99"/>
      <c r="H33" s="100"/>
      <c r="I33" s="101"/>
      <c r="J33" s="102"/>
    </row>
    <row r="34" spans="1:11" x14ac:dyDescent="0.45">
      <c r="A34" s="96">
        <v>44</v>
      </c>
      <c r="B34" s="97" t="s">
        <v>219</v>
      </c>
      <c r="C34" s="98" t="s">
        <v>41</v>
      </c>
      <c r="D34" s="159" t="s">
        <v>77</v>
      </c>
      <c r="E34" s="97" t="s">
        <v>428</v>
      </c>
      <c r="F34" s="97" t="s">
        <v>18</v>
      </c>
      <c r="G34" s="99"/>
      <c r="H34" s="100"/>
      <c r="I34" s="101"/>
      <c r="J34" s="102"/>
    </row>
    <row r="35" spans="1:11" x14ac:dyDescent="0.45">
      <c r="A35" s="96">
        <v>36</v>
      </c>
      <c r="B35" s="97" t="s">
        <v>219</v>
      </c>
      <c r="C35" s="98" t="s">
        <v>598</v>
      </c>
      <c r="D35" s="159" t="s">
        <v>101</v>
      </c>
      <c r="E35" s="97" t="s">
        <v>599</v>
      </c>
      <c r="F35" s="97" t="s">
        <v>600</v>
      </c>
      <c r="G35" s="99"/>
      <c r="H35" s="100"/>
      <c r="I35" s="147"/>
      <c r="J35" s="102"/>
    </row>
    <row r="36" spans="1:11" x14ac:dyDescent="0.45">
      <c r="A36" s="96">
        <v>46</v>
      </c>
      <c r="B36" s="97" t="s">
        <v>203</v>
      </c>
      <c r="C36" s="98" t="s">
        <v>536</v>
      </c>
      <c r="D36" s="159" t="s">
        <v>78</v>
      </c>
      <c r="E36" s="97" t="s">
        <v>537</v>
      </c>
      <c r="F36" s="97" t="s">
        <v>81</v>
      </c>
      <c r="G36" s="99"/>
      <c r="H36" s="100"/>
      <c r="I36" s="101"/>
      <c r="J36" s="102"/>
    </row>
    <row r="37" spans="1:11" x14ac:dyDescent="0.45">
      <c r="A37" s="96">
        <v>41</v>
      </c>
      <c r="B37" s="97" t="s">
        <v>219</v>
      </c>
      <c r="C37" s="98" t="s">
        <v>236</v>
      </c>
      <c r="D37" s="159" t="s">
        <v>62</v>
      </c>
      <c r="E37" s="97" t="s">
        <v>354</v>
      </c>
      <c r="F37" s="97" t="s">
        <v>55</v>
      </c>
      <c r="G37" s="99"/>
      <c r="H37" s="100"/>
      <c r="I37" s="147"/>
      <c r="J37" s="102"/>
    </row>
    <row r="38" spans="1:11" x14ac:dyDescent="0.45">
      <c r="A38" s="96">
        <v>50</v>
      </c>
      <c r="B38" s="98" t="s">
        <v>200</v>
      </c>
      <c r="C38" s="98" t="s">
        <v>566</v>
      </c>
      <c r="D38" s="160" t="s">
        <v>103</v>
      </c>
      <c r="E38" s="98" t="s">
        <v>567</v>
      </c>
      <c r="F38" s="98" t="s">
        <v>37</v>
      </c>
      <c r="G38" s="99"/>
      <c r="H38" s="100"/>
      <c r="I38" s="101"/>
      <c r="J38" s="102"/>
    </row>
    <row r="39" spans="1:11" x14ac:dyDescent="0.45">
      <c r="A39" s="96">
        <v>52</v>
      </c>
      <c r="B39" s="97" t="s">
        <v>219</v>
      </c>
      <c r="C39" s="98" t="s">
        <v>45</v>
      </c>
      <c r="D39" s="159" t="s">
        <v>80</v>
      </c>
      <c r="E39" s="106" t="s">
        <v>370</v>
      </c>
      <c r="F39" s="97" t="s">
        <v>81</v>
      </c>
      <c r="G39" s="99"/>
      <c r="H39" s="100"/>
      <c r="I39" s="101"/>
      <c r="J39" s="102"/>
    </row>
    <row r="40" spans="1:11" x14ac:dyDescent="0.45">
      <c r="A40" s="96">
        <v>56</v>
      </c>
      <c r="B40" s="98" t="s">
        <v>219</v>
      </c>
      <c r="C40" s="98" t="s">
        <v>109</v>
      </c>
      <c r="D40" s="160" t="s">
        <v>48</v>
      </c>
      <c r="E40" s="98" t="s">
        <v>527</v>
      </c>
      <c r="F40" s="98" t="s">
        <v>241</v>
      </c>
      <c r="G40" s="99"/>
      <c r="H40" s="100"/>
      <c r="I40" s="101"/>
      <c r="J40" s="102"/>
    </row>
    <row r="41" spans="1:11" x14ac:dyDescent="0.45">
      <c r="A41" s="96">
        <v>57</v>
      </c>
      <c r="B41" s="97" t="s">
        <v>203</v>
      </c>
      <c r="C41" s="98" t="s">
        <v>325</v>
      </c>
      <c r="D41" s="159" t="s">
        <v>29</v>
      </c>
      <c r="E41" s="97" t="s">
        <v>326</v>
      </c>
      <c r="F41" s="97" t="s">
        <v>30</v>
      </c>
      <c r="G41" s="107"/>
      <c r="H41" s="107"/>
      <c r="I41" s="146"/>
      <c r="J41" s="102"/>
      <c r="K41" s="12">
        <v>232.5</v>
      </c>
    </row>
    <row r="42" spans="1:11" x14ac:dyDescent="0.45">
      <c r="A42" s="96">
        <v>58</v>
      </c>
      <c r="B42" s="97" t="s">
        <v>203</v>
      </c>
      <c r="C42" s="98" t="s">
        <v>275</v>
      </c>
      <c r="D42" s="159" t="s">
        <v>33</v>
      </c>
      <c r="E42" s="97" t="s">
        <v>238</v>
      </c>
      <c r="F42" s="97" t="s">
        <v>34</v>
      </c>
      <c r="G42" s="99"/>
      <c r="H42" s="100"/>
      <c r="I42" s="101"/>
      <c r="J42" s="102"/>
    </row>
    <row r="43" spans="1:11" x14ac:dyDescent="0.45">
      <c r="A43" s="96">
        <v>93</v>
      </c>
      <c r="B43" s="97" t="s">
        <v>653</v>
      </c>
      <c r="C43" s="98" t="s">
        <v>659</v>
      </c>
      <c r="D43" s="159" t="s">
        <v>660</v>
      </c>
      <c r="E43" s="97" t="s">
        <v>661</v>
      </c>
      <c r="F43" s="97" t="s">
        <v>11</v>
      </c>
      <c r="G43" s="99"/>
      <c r="H43" s="100"/>
      <c r="I43" s="101"/>
      <c r="J43" s="102"/>
    </row>
    <row r="44" spans="1:11" x14ac:dyDescent="0.45">
      <c r="A44" s="96">
        <v>60</v>
      </c>
      <c r="B44" s="97" t="s">
        <v>203</v>
      </c>
      <c r="C44" s="98" t="s">
        <v>384</v>
      </c>
      <c r="D44" s="159" t="s">
        <v>82</v>
      </c>
      <c r="E44" s="106" t="s">
        <v>385</v>
      </c>
      <c r="F44" s="97" t="s">
        <v>386</v>
      </c>
      <c r="G44" s="99"/>
      <c r="H44" s="100"/>
      <c r="I44" s="101"/>
      <c r="J44" s="102"/>
    </row>
    <row r="45" spans="1:11" x14ac:dyDescent="0.45">
      <c r="A45" s="96">
        <v>61</v>
      </c>
      <c r="B45" s="97" t="s">
        <v>222</v>
      </c>
      <c r="C45" s="98" t="s">
        <v>325</v>
      </c>
      <c r="D45" s="159" t="s">
        <v>669</v>
      </c>
      <c r="E45" s="97" t="s">
        <v>54</v>
      </c>
      <c r="F45" s="97" t="s">
        <v>55</v>
      </c>
      <c r="G45" s="99"/>
      <c r="H45" s="100"/>
      <c r="I45" s="101"/>
      <c r="J45" s="102"/>
    </row>
    <row r="46" spans="1:11" x14ac:dyDescent="0.45">
      <c r="A46" s="96">
        <v>62</v>
      </c>
      <c r="B46" s="97" t="s">
        <v>219</v>
      </c>
      <c r="C46" s="98" t="s">
        <v>235</v>
      </c>
      <c r="D46" s="159" t="s">
        <v>35</v>
      </c>
      <c r="E46" s="97" t="s">
        <v>36</v>
      </c>
      <c r="F46" s="97" t="s">
        <v>37</v>
      </c>
      <c r="G46" s="99"/>
      <c r="H46" s="100"/>
      <c r="I46" s="101"/>
      <c r="J46" s="102"/>
    </row>
    <row r="47" spans="1:11" x14ac:dyDescent="0.45">
      <c r="A47" s="96">
        <v>95</v>
      </c>
      <c r="B47" s="97" t="s">
        <v>298</v>
      </c>
      <c r="C47" s="98" t="s">
        <v>47</v>
      </c>
      <c r="D47" s="159" t="s">
        <v>106</v>
      </c>
      <c r="E47" s="97" t="s">
        <v>664</v>
      </c>
      <c r="F47" s="97" t="s">
        <v>6</v>
      </c>
      <c r="G47" s="99"/>
      <c r="H47" s="100"/>
      <c r="I47" s="101"/>
      <c r="J47" s="102"/>
    </row>
    <row r="48" spans="1:11" x14ac:dyDescent="0.45">
      <c r="A48" s="96">
        <v>64</v>
      </c>
      <c r="B48" s="97" t="s">
        <v>200</v>
      </c>
      <c r="C48" s="98" t="s">
        <v>380</v>
      </c>
      <c r="D48" s="159" t="s">
        <v>107</v>
      </c>
      <c r="E48" s="97" t="s">
        <v>570</v>
      </c>
      <c r="F48" s="97" t="s">
        <v>571</v>
      </c>
      <c r="G48" s="99"/>
      <c r="H48" s="100"/>
      <c r="I48" s="101"/>
      <c r="J48" s="102"/>
    </row>
    <row r="49" spans="1:10" x14ac:dyDescent="0.45">
      <c r="A49" s="96">
        <v>81</v>
      </c>
      <c r="B49" s="98" t="s">
        <v>653</v>
      </c>
      <c r="C49" s="98" t="s">
        <v>654</v>
      </c>
      <c r="D49" s="160" t="s">
        <v>210</v>
      </c>
      <c r="E49" s="98" t="s">
        <v>510</v>
      </c>
      <c r="F49" s="98" t="s">
        <v>655</v>
      </c>
      <c r="G49" s="99"/>
      <c r="H49" s="100"/>
      <c r="I49" s="101"/>
      <c r="J49" s="102"/>
    </row>
    <row r="50" spans="1:10" x14ac:dyDescent="0.45">
      <c r="A50" s="96">
        <v>67</v>
      </c>
      <c r="B50" s="107" t="s">
        <v>200</v>
      </c>
      <c r="C50" s="107" t="s">
        <v>391</v>
      </c>
      <c r="D50" s="107" t="s">
        <v>83</v>
      </c>
      <c r="E50" s="106" t="s">
        <v>84</v>
      </c>
      <c r="F50" s="107" t="s">
        <v>85</v>
      </c>
      <c r="G50" s="99"/>
      <c r="H50" s="100"/>
      <c r="I50" s="101"/>
      <c r="J50" s="102"/>
    </row>
    <row r="51" spans="1:10" x14ac:dyDescent="0.45">
      <c r="A51" s="96">
        <v>40</v>
      </c>
      <c r="B51" s="97" t="s">
        <v>242</v>
      </c>
      <c r="C51" s="98" t="s">
        <v>588</v>
      </c>
      <c r="D51" s="159" t="s">
        <v>589</v>
      </c>
      <c r="E51" s="97" t="s">
        <v>483</v>
      </c>
      <c r="F51" s="97" t="s">
        <v>70</v>
      </c>
      <c r="G51" s="99"/>
      <c r="H51" s="100"/>
      <c r="I51" s="101"/>
      <c r="J51" s="102"/>
    </row>
    <row r="52" spans="1:10" x14ac:dyDescent="0.45">
      <c r="A52" s="96">
        <v>24</v>
      </c>
      <c r="B52" s="97" t="s">
        <v>298</v>
      </c>
      <c r="C52" s="98" t="s">
        <v>648</v>
      </c>
      <c r="D52" s="159" t="s">
        <v>108</v>
      </c>
      <c r="E52" s="97" t="s">
        <v>649</v>
      </c>
      <c r="F52" s="97" t="s">
        <v>434</v>
      </c>
      <c r="G52" s="99"/>
      <c r="H52" s="100"/>
      <c r="I52" s="147"/>
      <c r="J52" s="102"/>
    </row>
    <row r="53" spans="1:10" x14ac:dyDescent="0.45">
      <c r="A53" s="96">
        <v>68</v>
      </c>
      <c r="B53" s="97" t="s">
        <v>200</v>
      </c>
      <c r="C53" s="98" t="s">
        <v>252</v>
      </c>
      <c r="D53" s="159" t="s">
        <v>31</v>
      </c>
      <c r="E53" s="97" t="s">
        <v>253</v>
      </c>
      <c r="F53" s="97" t="s">
        <v>32</v>
      </c>
      <c r="G53" s="99"/>
      <c r="H53" s="100"/>
      <c r="I53" s="101"/>
      <c r="J53" s="102"/>
    </row>
    <row r="54" spans="1:10" x14ac:dyDescent="0.45">
      <c r="A54" s="96">
        <v>70</v>
      </c>
      <c r="B54" s="97" t="s">
        <v>200</v>
      </c>
      <c r="C54" s="98" t="s">
        <v>296</v>
      </c>
      <c r="D54" s="159" t="s">
        <v>38</v>
      </c>
      <c r="E54" s="97" t="s">
        <v>455</v>
      </c>
      <c r="F54" s="97" t="s">
        <v>456</v>
      </c>
      <c r="G54" s="99"/>
      <c r="H54" s="100"/>
      <c r="I54" s="101"/>
      <c r="J54" s="102"/>
    </row>
    <row r="55" spans="1:10" x14ac:dyDescent="0.45">
      <c r="A55" s="96">
        <v>59</v>
      </c>
      <c r="B55" s="97" t="s">
        <v>222</v>
      </c>
      <c r="C55" s="98" t="s">
        <v>204</v>
      </c>
      <c r="D55" s="159" t="s">
        <v>454</v>
      </c>
      <c r="E55" s="97" t="s">
        <v>406</v>
      </c>
      <c r="F55" s="97" t="s">
        <v>114</v>
      </c>
      <c r="G55" s="99"/>
      <c r="H55" s="100"/>
      <c r="I55" s="147"/>
      <c r="J55" s="102"/>
    </row>
    <row r="56" spans="1:10" x14ac:dyDescent="0.45">
      <c r="A56" s="96">
        <v>82</v>
      </c>
      <c r="B56" s="97" t="s">
        <v>203</v>
      </c>
      <c r="C56" s="98" t="s">
        <v>656</v>
      </c>
      <c r="D56" s="159" t="s">
        <v>110</v>
      </c>
      <c r="E56" s="97" t="s">
        <v>657</v>
      </c>
      <c r="F56" s="97" t="s">
        <v>376</v>
      </c>
      <c r="G56" s="99"/>
      <c r="H56" s="100"/>
      <c r="I56" s="101"/>
      <c r="J56" s="102"/>
    </row>
    <row r="57" spans="1:10" x14ac:dyDescent="0.45">
      <c r="A57" s="96">
        <v>72</v>
      </c>
      <c r="B57" s="97" t="s">
        <v>203</v>
      </c>
      <c r="C57" s="98" t="s">
        <v>551</v>
      </c>
      <c r="D57" s="159" t="s">
        <v>39</v>
      </c>
      <c r="E57" s="125">
        <v>4</v>
      </c>
      <c r="F57" s="97" t="s">
        <v>453</v>
      </c>
      <c r="G57" s="99"/>
      <c r="H57" s="100"/>
      <c r="I57" s="101"/>
      <c r="J57" s="102"/>
    </row>
    <row r="58" spans="1:10" x14ac:dyDescent="0.45">
      <c r="A58" s="96">
        <v>73</v>
      </c>
      <c r="B58" s="98" t="s">
        <v>203</v>
      </c>
      <c r="C58" s="98" t="s">
        <v>414</v>
      </c>
      <c r="D58" s="160" t="s">
        <v>40</v>
      </c>
      <c r="E58" s="98" t="s">
        <v>415</v>
      </c>
      <c r="F58" s="98" t="s">
        <v>397</v>
      </c>
      <c r="G58" s="99"/>
      <c r="H58" s="100"/>
      <c r="I58" s="101"/>
      <c r="J58" s="102"/>
    </row>
    <row r="59" spans="1:10" x14ac:dyDescent="0.45">
      <c r="A59" s="96">
        <v>77</v>
      </c>
      <c r="B59" s="97" t="s">
        <v>219</v>
      </c>
      <c r="C59" s="98" t="s">
        <v>604</v>
      </c>
      <c r="D59" s="159" t="s">
        <v>116</v>
      </c>
      <c r="E59" s="97" t="s">
        <v>343</v>
      </c>
      <c r="F59" s="97" t="s">
        <v>605</v>
      </c>
      <c r="G59" s="99"/>
      <c r="H59" s="100"/>
      <c r="I59" s="101"/>
      <c r="J59" s="102"/>
    </row>
    <row r="60" spans="1:10" x14ac:dyDescent="0.45">
      <c r="A60" s="96">
        <v>80</v>
      </c>
      <c r="B60" s="97" t="s">
        <v>203</v>
      </c>
      <c r="C60" s="98" t="s">
        <v>651</v>
      </c>
      <c r="D60" s="159" t="s">
        <v>542</v>
      </c>
      <c r="E60" s="97" t="s">
        <v>652</v>
      </c>
      <c r="F60" s="97" t="s">
        <v>320</v>
      </c>
      <c r="G60" s="99"/>
      <c r="H60" s="100"/>
      <c r="I60" s="147"/>
      <c r="J60" s="102"/>
    </row>
    <row r="61" spans="1:10" x14ac:dyDescent="0.45">
      <c r="A61" s="96">
        <v>74</v>
      </c>
      <c r="B61" s="98" t="s">
        <v>203</v>
      </c>
      <c r="C61" s="98" t="s">
        <v>335</v>
      </c>
      <c r="D61" s="160" t="s">
        <v>42</v>
      </c>
      <c r="E61" s="98" t="s">
        <v>460</v>
      </c>
      <c r="F61" s="98" t="s">
        <v>43</v>
      </c>
      <c r="G61" s="107"/>
      <c r="H61" s="107"/>
      <c r="I61" s="104"/>
      <c r="J61" s="131"/>
    </row>
    <row r="62" spans="1:10" x14ac:dyDescent="0.45">
      <c r="A62" s="96">
        <v>79</v>
      </c>
      <c r="B62" s="97" t="s">
        <v>298</v>
      </c>
      <c r="C62" s="98" t="s">
        <v>377</v>
      </c>
      <c r="D62" s="159" t="s">
        <v>65</v>
      </c>
      <c r="E62" s="97" t="s">
        <v>606</v>
      </c>
      <c r="F62" s="97" t="s">
        <v>332</v>
      </c>
      <c r="G62" s="99"/>
      <c r="H62" s="100"/>
      <c r="I62" s="101"/>
      <c r="J62" s="102"/>
    </row>
    <row r="63" spans="1:10" x14ac:dyDescent="0.45">
      <c r="A63" s="96">
        <v>78</v>
      </c>
      <c r="B63" s="97" t="s">
        <v>298</v>
      </c>
      <c r="C63" s="98" t="s">
        <v>497</v>
      </c>
      <c r="D63" s="159" t="s">
        <v>87</v>
      </c>
      <c r="E63" s="97" t="s">
        <v>455</v>
      </c>
      <c r="F63" s="97" t="s">
        <v>88</v>
      </c>
      <c r="G63" s="99"/>
      <c r="H63" s="100"/>
      <c r="I63" s="101"/>
      <c r="J63" s="102"/>
    </row>
    <row r="64" spans="1:10" x14ac:dyDescent="0.45">
      <c r="A64" s="96">
        <v>101</v>
      </c>
      <c r="B64" s="97"/>
      <c r="C64" s="98"/>
      <c r="D64" s="159"/>
      <c r="E64" s="97"/>
      <c r="F64" s="97"/>
      <c r="G64" s="99"/>
      <c r="H64" s="100"/>
      <c r="I64" s="101"/>
      <c r="J64" s="102"/>
    </row>
    <row r="65" spans="1:16" x14ac:dyDescent="0.45">
      <c r="A65" s="96">
        <v>102</v>
      </c>
      <c r="B65" s="97"/>
      <c r="C65" s="98"/>
      <c r="D65" s="159"/>
      <c r="E65" s="97"/>
      <c r="F65" s="97"/>
      <c r="G65" s="99"/>
      <c r="H65" s="100"/>
      <c r="I65" s="101"/>
      <c r="L65" s="102">
        <f>SUM(J1:J64)</f>
        <v>0</v>
      </c>
    </row>
    <row r="66" spans="1:16" x14ac:dyDescent="0.45">
      <c r="A66" s="96">
        <v>103</v>
      </c>
      <c r="B66" s="97"/>
      <c r="C66" s="98"/>
      <c r="D66" s="159"/>
      <c r="E66" s="97"/>
      <c r="F66" s="97"/>
      <c r="H66" s="7"/>
      <c r="I66" s="114"/>
      <c r="J66" s="7"/>
    </row>
    <row r="67" spans="1:16" x14ac:dyDescent="0.45">
      <c r="A67" s="96">
        <v>104</v>
      </c>
      <c r="B67" s="97"/>
      <c r="C67" s="98"/>
      <c r="D67" s="159"/>
      <c r="E67" s="97"/>
      <c r="F67" s="97"/>
      <c r="G67" s="99"/>
      <c r="H67" s="100"/>
      <c r="I67" s="101"/>
      <c r="J67" s="102"/>
    </row>
    <row r="68" spans="1:16" x14ac:dyDescent="0.45">
      <c r="A68" s="96">
        <v>105</v>
      </c>
      <c r="B68" s="97"/>
      <c r="C68" s="98"/>
      <c r="D68" s="159"/>
      <c r="E68" s="97"/>
      <c r="F68" s="97"/>
      <c r="G68" s="99"/>
      <c r="H68" s="100"/>
      <c r="I68" s="101"/>
      <c r="J68" s="102"/>
    </row>
    <row r="69" spans="1:16" x14ac:dyDescent="0.45">
      <c r="A69" s="96">
        <v>106</v>
      </c>
    </row>
    <row r="70" spans="1:16" x14ac:dyDescent="0.45">
      <c r="A70" s="96">
        <v>107</v>
      </c>
      <c r="L70" s="117"/>
    </row>
    <row r="71" spans="1:16" x14ac:dyDescent="0.45">
      <c r="A71" s="96">
        <v>108</v>
      </c>
      <c r="C71" s="118" t="s">
        <v>505</v>
      </c>
      <c r="D71" s="9"/>
    </row>
    <row r="72" spans="1:16" x14ac:dyDescent="0.45">
      <c r="A72" s="96">
        <v>109</v>
      </c>
    </row>
    <row r="73" spans="1:16" x14ac:dyDescent="0.45">
      <c r="A73" s="96">
        <v>110</v>
      </c>
    </row>
    <row r="74" spans="1:16" x14ac:dyDescent="0.45">
      <c r="A74" s="96">
        <v>111</v>
      </c>
      <c r="C74" s="9"/>
    </row>
    <row r="75" spans="1:16" x14ac:dyDescent="0.45">
      <c r="A75" s="96">
        <v>112</v>
      </c>
    </row>
    <row r="76" spans="1:16" x14ac:dyDescent="0.45">
      <c r="A76" s="96">
        <v>108</v>
      </c>
      <c r="B76" s="7"/>
      <c r="C76" s="7"/>
      <c r="D76" s="7"/>
      <c r="E76" s="113"/>
      <c r="F76" s="7"/>
      <c r="G76" s="7" t="s">
        <v>506</v>
      </c>
      <c r="H76" s="100"/>
      <c r="I76" s="101"/>
      <c r="J76" s="102">
        <f>E99</f>
        <v>0</v>
      </c>
    </row>
    <row r="77" spans="1:16" x14ac:dyDescent="0.45">
      <c r="A77" s="96">
        <v>109</v>
      </c>
      <c r="B77" s="97"/>
      <c r="C77" s="98"/>
      <c r="D77" s="159"/>
      <c r="E77" s="97"/>
      <c r="F77" s="97"/>
      <c r="H77" s="7"/>
      <c r="I77" s="114"/>
      <c r="J77" s="7"/>
    </row>
    <row r="78" spans="1:16" x14ac:dyDescent="0.45">
      <c r="A78" s="96">
        <v>110</v>
      </c>
      <c r="B78" s="97"/>
      <c r="C78" s="98"/>
      <c r="D78" s="159"/>
      <c r="E78" s="97"/>
      <c r="F78" s="97"/>
      <c r="G78" s="99"/>
      <c r="H78" s="100"/>
      <c r="I78" s="101"/>
      <c r="J78" s="102"/>
    </row>
    <row r="79" spans="1:16" x14ac:dyDescent="0.45">
      <c r="B79" s="7"/>
      <c r="C79" s="7"/>
      <c r="D79" s="7"/>
      <c r="E79" s="113"/>
      <c r="F79" s="7"/>
      <c r="G79" s="7"/>
      <c r="H79" s="7"/>
      <c r="I79" s="114"/>
      <c r="J79" s="7"/>
      <c r="P79" s="121"/>
    </row>
    <row r="80" spans="1:16" x14ac:dyDescent="0.45">
      <c r="B80" s="7"/>
      <c r="C80" s="7"/>
      <c r="D80" s="7"/>
      <c r="E80" s="113"/>
      <c r="F80" s="7"/>
      <c r="G80" s="7"/>
      <c r="H80" s="7"/>
      <c r="I80" s="114"/>
      <c r="J80" s="7"/>
    </row>
    <row r="81" spans="1:14" x14ac:dyDescent="0.45">
      <c r="E81" s="158" t="s">
        <v>682</v>
      </c>
      <c r="I81" s="116"/>
      <c r="J81" s="117">
        <f>SUM(J76+L65)</f>
        <v>0</v>
      </c>
      <c r="M81" s="14" t="s">
        <v>610</v>
      </c>
      <c r="N81" s="117">
        <f>4433.5-J81</f>
        <v>4433.5</v>
      </c>
    </row>
    <row r="82" spans="1:14" x14ac:dyDescent="0.45">
      <c r="C82" t="s">
        <v>675</v>
      </c>
      <c r="F82" s="121"/>
    </row>
    <row r="83" spans="1:14" x14ac:dyDescent="0.45">
      <c r="C83" t="s">
        <v>92</v>
      </c>
      <c r="F83" s="121"/>
    </row>
    <row r="84" spans="1:14" x14ac:dyDescent="0.45">
      <c r="C84" t="s">
        <v>93</v>
      </c>
      <c r="F84" s="121"/>
    </row>
    <row r="85" spans="1:14" x14ac:dyDescent="0.45">
      <c r="C85" s="161" t="s">
        <v>12</v>
      </c>
      <c r="E85" s="157"/>
      <c r="F85" s="145">
        <f>J81/4</f>
        <v>0</v>
      </c>
    </row>
    <row r="86" spans="1:14" x14ac:dyDescent="0.45">
      <c r="A86" t="s">
        <v>676</v>
      </c>
    </row>
    <row r="87" spans="1:14" x14ac:dyDescent="0.45">
      <c r="C87" s="161" t="s">
        <v>519</v>
      </c>
      <c r="D87" s="120"/>
      <c r="E87" s="157"/>
    </row>
    <row r="88" spans="1:14" x14ac:dyDescent="0.45">
      <c r="C88" s="161" t="s">
        <v>59</v>
      </c>
      <c r="E88" s="157"/>
    </row>
    <row r="89" spans="1:14" x14ac:dyDescent="0.45">
      <c r="C89" s="161" t="s">
        <v>102</v>
      </c>
      <c r="E89" s="157"/>
    </row>
    <row r="90" spans="1:14" x14ac:dyDescent="0.45">
      <c r="C90" s="161" t="s">
        <v>79</v>
      </c>
      <c r="E90" s="157"/>
    </row>
    <row r="91" spans="1:14" x14ac:dyDescent="0.45">
      <c r="A91" s="9">
        <v>44224</v>
      </c>
      <c r="C91" t="s">
        <v>672</v>
      </c>
    </row>
    <row r="92" spans="1:14" x14ac:dyDescent="0.45">
      <c r="C92" s="161" t="s">
        <v>568</v>
      </c>
      <c r="E92" s="157"/>
    </row>
    <row r="93" spans="1:14" x14ac:dyDescent="0.45">
      <c r="C93" t="s">
        <v>677</v>
      </c>
      <c r="E93" s="157"/>
    </row>
    <row r="94" spans="1:14" x14ac:dyDescent="0.45">
      <c r="C94" t="s">
        <v>104</v>
      </c>
      <c r="E94" s="157"/>
    </row>
    <row r="95" spans="1:14" x14ac:dyDescent="0.45">
      <c r="C95" s="161" t="s">
        <v>111</v>
      </c>
      <c r="E95" s="157"/>
    </row>
    <row r="96" spans="1:14" x14ac:dyDescent="0.45">
      <c r="C96" t="s">
        <v>112</v>
      </c>
      <c r="E96" s="157"/>
    </row>
    <row r="97" spans="3:5" x14ac:dyDescent="0.45">
      <c r="C97" t="s">
        <v>42</v>
      </c>
      <c r="E97" s="157"/>
    </row>
    <row r="99" spans="3:5" x14ac:dyDescent="0.45">
      <c r="E99">
        <f>SUM(E82:E97)</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N122"/>
  <sheetViews>
    <sheetView topLeftCell="A82" workbookViewId="0">
      <selection activeCell="E113" sqref="E113"/>
    </sheetView>
  </sheetViews>
  <sheetFormatPr defaultRowHeight="14.25" x14ac:dyDescent="0.45"/>
  <cols>
    <col min="3" max="3" width="19" bestFit="1" customWidth="1"/>
    <col min="4" max="4" width="15.33203125" bestFit="1" customWidth="1"/>
    <col min="5" max="5" width="30.6640625" bestFit="1" customWidth="1"/>
    <col min="6" max="6" width="11" bestFit="1" customWidth="1"/>
    <col min="7" max="7" width="10.53125" bestFit="1" customWidth="1"/>
    <col min="9" max="9" width="10.53125" bestFit="1" customWidth="1"/>
    <col min="12" max="12" width="10.53125" bestFit="1" customWidth="1"/>
  </cols>
  <sheetData>
    <row r="1" spans="1:12" x14ac:dyDescent="0.45">
      <c r="A1" s="96">
        <v>1</v>
      </c>
      <c r="B1" s="97" t="s">
        <v>200</v>
      </c>
      <c r="C1" s="98" t="s">
        <v>201</v>
      </c>
      <c r="D1" s="97" t="s">
        <v>5</v>
      </c>
      <c r="E1" s="97" t="s">
        <v>202</v>
      </c>
      <c r="F1" s="97" t="s">
        <v>6</v>
      </c>
      <c r="G1" s="99"/>
      <c r="H1" s="100"/>
      <c r="I1" s="101">
        <v>42755</v>
      </c>
      <c r="J1" s="102">
        <v>200</v>
      </c>
    </row>
    <row r="2" spans="1:12" x14ac:dyDescent="0.45">
      <c r="A2" s="96">
        <v>2</v>
      </c>
      <c r="B2" s="97" t="s">
        <v>203</v>
      </c>
      <c r="C2" s="98" t="s">
        <v>204</v>
      </c>
      <c r="D2" s="97" t="s">
        <v>205</v>
      </c>
      <c r="E2" s="97" t="s">
        <v>206</v>
      </c>
      <c r="F2" s="97" t="s">
        <v>207</v>
      </c>
      <c r="G2" s="99"/>
      <c r="H2" s="100"/>
      <c r="I2" s="101">
        <v>42501</v>
      </c>
      <c r="J2" s="102">
        <v>60</v>
      </c>
    </row>
    <row r="3" spans="1:12" x14ac:dyDescent="0.45">
      <c r="A3" s="96">
        <v>3</v>
      </c>
      <c r="B3" s="97" t="s">
        <v>208</v>
      </c>
      <c r="C3" s="98" t="s">
        <v>209</v>
      </c>
      <c r="D3" s="97" t="s">
        <v>210</v>
      </c>
      <c r="E3" s="97" t="s">
        <v>211</v>
      </c>
      <c r="F3" s="97" t="s">
        <v>212</v>
      </c>
      <c r="G3" s="99"/>
      <c r="H3" s="100"/>
      <c r="I3" s="101">
        <v>42649</v>
      </c>
      <c r="J3" s="102">
        <v>65</v>
      </c>
    </row>
    <row r="4" spans="1:12" x14ac:dyDescent="0.45">
      <c r="A4" s="96">
        <v>4</v>
      </c>
      <c r="B4" s="98" t="s">
        <v>203</v>
      </c>
      <c r="C4" s="98" t="s">
        <v>213</v>
      </c>
      <c r="D4" s="98" t="s">
        <v>44</v>
      </c>
      <c r="E4" s="98" t="s">
        <v>214</v>
      </c>
      <c r="F4" s="98" t="s">
        <v>207</v>
      </c>
      <c r="G4" s="99"/>
      <c r="H4" s="100"/>
      <c r="I4" s="101">
        <v>42489</v>
      </c>
      <c r="J4" s="102">
        <v>30</v>
      </c>
      <c r="L4" s="9">
        <v>42489</v>
      </c>
    </row>
    <row r="5" spans="1:12" x14ac:dyDescent="0.45">
      <c r="A5" s="96">
        <v>5</v>
      </c>
      <c r="B5" s="97" t="s">
        <v>203</v>
      </c>
      <c r="C5" s="98" t="s">
        <v>215</v>
      </c>
      <c r="D5" s="97" t="s">
        <v>216</v>
      </c>
      <c r="E5" s="97" t="s">
        <v>217</v>
      </c>
      <c r="F5" s="97" t="s">
        <v>218</v>
      </c>
      <c r="G5" s="99"/>
      <c r="H5" s="100"/>
      <c r="I5" s="101">
        <v>42747</v>
      </c>
      <c r="J5" s="102">
        <v>100</v>
      </c>
    </row>
    <row r="6" spans="1:12" x14ac:dyDescent="0.45">
      <c r="A6" s="96">
        <v>6</v>
      </c>
      <c r="B6" s="97" t="s">
        <v>219</v>
      </c>
      <c r="C6" s="98" t="s">
        <v>45</v>
      </c>
      <c r="D6" s="97" t="s">
        <v>220</v>
      </c>
      <c r="E6" s="97" t="s">
        <v>211</v>
      </c>
      <c r="F6" s="97" t="s">
        <v>221</v>
      </c>
      <c r="G6" s="99"/>
      <c r="H6" s="100"/>
      <c r="I6" s="101">
        <v>42755</v>
      </c>
      <c r="J6" s="102">
        <v>130</v>
      </c>
    </row>
    <row r="7" spans="1:12" x14ac:dyDescent="0.45">
      <c r="A7" s="96">
        <v>7</v>
      </c>
      <c r="B7" s="97" t="s">
        <v>222</v>
      </c>
      <c r="C7" s="98" t="s">
        <v>223</v>
      </c>
      <c r="D7" s="97" t="s">
        <v>224</v>
      </c>
      <c r="E7" s="97" t="s">
        <v>225</v>
      </c>
      <c r="F7" s="97" t="s">
        <v>226</v>
      </c>
      <c r="G7" s="99"/>
      <c r="H7" s="100"/>
      <c r="I7" s="101">
        <v>42747</v>
      </c>
      <c r="J7" s="102">
        <v>100</v>
      </c>
    </row>
    <row r="8" spans="1:12" x14ac:dyDescent="0.45">
      <c r="A8" s="96">
        <v>8</v>
      </c>
      <c r="B8" s="97" t="s">
        <v>222</v>
      </c>
      <c r="C8" s="98" t="s">
        <v>227</v>
      </c>
      <c r="D8" s="97" t="s">
        <v>228</v>
      </c>
      <c r="E8" s="97" t="s">
        <v>229</v>
      </c>
      <c r="F8" s="97" t="s">
        <v>230</v>
      </c>
      <c r="G8" s="99"/>
      <c r="H8" s="100"/>
      <c r="I8" s="101">
        <v>42646</v>
      </c>
      <c r="J8" s="102">
        <v>65</v>
      </c>
    </row>
    <row r="9" spans="1:12" x14ac:dyDescent="0.45">
      <c r="A9" s="96">
        <v>9</v>
      </c>
      <c r="B9" s="97" t="s">
        <v>203</v>
      </c>
      <c r="C9" s="98" t="s">
        <v>231</v>
      </c>
      <c r="D9" s="97" t="s">
        <v>232</v>
      </c>
      <c r="E9" s="97" t="s">
        <v>233</v>
      </c>
      <c r="F9" s="97" t="s">
        <v>234</v>
      </c>
      <c r="G9" s="99"/>
      <c r="H9" s="100"/>
      <c r="I9" s="101">
        <v>42578</v>
      </c>
      <c r="J9" s="102">
        <v>30</v>
      </c>
    </row>
    <row r="10" spans="1:12" x14ac:dyDescent="0.45">
      <c r="A10" s="96">
        <v>10</v>
      </c>
      <c r="B10" s="97" t="s">
        <v>219</v>
      </c>
      <c r="C10" s="98" t="s">
        <v>235</v>
      </c>
      <c r="D10" s="97" t="s">
        <v>35</v>
      </c>
      <c r="E10" s="97" t="s">
        <v>36</v>
      </c>
      <c r="F10" s="97" t="s">
        <v>37</v>
      </c>
      <c r="G10" s="99"/>
      <c r="H10" s="100"/>
      <c r="I10" s="101">
        <v>42774</v>
      </c>
      <c r="J10" s="102">
        <v>200</v>
      </c>
    </row>
    <row r="11" spans="1:12" x14ac:dyDescent="0.45">
      <c r="A11" s="96">
        <v>11</v>
      </c>
      <c r="B11" s="97" t="s">
        <v>219</v>
      </c>
      <c r="C11" s="98" t="s">
        <v>236</v>
      </c>
      <c r="D11" s="97" t="s">
        <v>237</v>
      </c>
      <c r="E11" s="97" t="s">
        <v>238</v>
      </c>
      <c r="F11" s="97" t="s">
        <v>6</v>
      </c>
      <c r="G11" s="99"/>
      <c r="H11" s="100"/>
      <c r="I11" s="101">
        <v>42747</v>
      </c>
      <c r="J11" s="102">
        <v>100</v>
      </c>
    </row>
    <row r="12" spans="1:12" x14ac:dyDescent="0.45">
      <c r="A12" s="96">
        <v>12</v>
      </c>
      <c r="B12" s="98" t="s">
        <v>219</v>
      </c>
      <c r="C12" s="98" t="s">
        <v>45</v>
      </c>
      <c r="D12" s="98" t="s">
        <v>239</v>
      </c>
      <c r="E12" s="98" t="s">
        <v>240</v>
      </c>
      <c r="F12" s="98" t="s">
        <v>241</v>
      </c>
      <c r="G12" s="99"/>
      <c r="H12" s="100"/>
      <c r="I12" s="101">
        <v>42775</v>
      </c>
      <c r="J12" s="102">
        <v>100</v>
      </c>
    </row>
    <row r="13" spans="1:12" x14ac:dyDescent="0.45">
      <c r="A13" s="96">
        <v>13</v>
      </c>
      <c r="B13" s="97" t="s">
        <v>242</v>
      </c>
      <c r="C13" s="98" t="s">
        <v>243</v>
      </c>
      <c r="D13" s="97" t="s">
        <v>244</v>
      </c>
      <c r="E13" s="97" t="s">
        <v>245</v>
      </c>
      <c r="F13" s="97" t="s">
        <v>246</v>
      </c>
      <c r="G13" s="99"/>
      <c r="H13" s="100"/>
      <c r="I13" s="101">
        <v>42758</v>
      </c>
      <c r="J13" s="102">
        <v>70</v>
      </c>
    </row>
    <row r="14" spans="1:12" x14ac:dyDescent="0.45">
      <c r="A14" s="96">
        <v>14</v>
      </c>
      <c r="B14" s="97" t="s">
        <v>219</v>
      </c>
      <c r="C14" s="98" t="s">
        <v>46</v>
      </c>
      <c r="D14" s="97" t="s">
        <v>247</v>
      </c>
      <c r="E14" s="97" t="s">
        <v>248</v>
      </c>
      <c r="F14" s="97" t="s">
        <v>249</v>
      </c>
      <c r="G14" s="99"/>
      <c r="H14" s="100"/>
      <c r="I14" s="101">
        <v>42747</v>
      </c>
      <c r="J14" s="102">
        <v>100</v>
      </c>
    </row>
    <row r="15" spans="1:12" x14ac:dyDescent="0.45">
      <c r="A15" s="96">
        <v>15</v>
      </c>
      <c r="B15" s="97" t="s">
        <v>219</v>
      </c>
      <c r="C15" s="98" t="s">
        <v>25</v>
      </c>
      <c r="D15" s="97" t="s">
        <v>250</v>
      </c>
      <c r="E15" s="97" t="s">
        <v>251</v>
      </c>
      <c r="F15" s="97" t="s">
        <v>207</v>
      </c>
      <c r="G15" s="99"/>
      <c r="H15" s="100"/>
      <c r="I15" s="101">
        <v>42747</v>
      </c>
      <c r="J15" s="102">
        <v>100</v>
      </c>
    </row>
    <row r="16" spans="1:12" x14ac:dyDescent="0.45">
      <c r="A16" s="96">
        <v>16</v>
      </c>
      <c r="B16" s="97" t="s">
        <v>200</v>
      </c>
      <c r="C16" s="98" t="s">
        <v>252</v>
      </c>
      <c r="D16" s="97" t="s">
        <v>31</v>
      </c>
      <c r="E16" s="97" t="s">
        <v>253</v>
      </c>
      <c r="F16" s="97" t="s">
        <v>32</v>
      </c>
      <c r="G16" s="99"/>
      <c r="H16" s="100"/>
      <c r="I16" s="101">
        <v>42747</v>
      </c>
      <c r="J16" s="102">
        <v>100</v>
      </c>
    </row>
    <row r="17" spans="1:10" x14ac:dyDescent="0.45">
      <c r="A17" s="96">
        <v>17</v>
      </c>
      <c r="B17" s="97" t="s">
        <v>219</v>
      </c>
      <c r="C17" s="98" t="s">
        <v>254</v>
      </c>
      <c r="D17" s="97" t="s">
        <v>255</v>
      </c>
      <c r="E17" s="97" t="s">
        <v>256</v>
      </c>
      <c r="F17" s="97" t="s">
        <v>257</v>
      </c>
      <c r="G17" s="99"/>
      <c r="H17" s="100"/>
      <c r="I17" s="101">
        <v>42793</v>
      </c>
      <c r="J17" s="102">
        <v>100</v>
      </c>
    </row>
    <row r="18" spans="1:10" x14ac:dyDescent="0.45">
      <c r="A18" s="96">
        <v>18</v>
      </c>
      <c r="B18" s="97" t="s">
        <v>203</v>
      </c>
      <c r="C18" s="98" t="s">
        <v>258</v>
      </c>
      <c r="D18" s="97" t="s">
        <v>259</v>
      </c>
      <c r="E18" s="97" t="s">
        <v>260</v>
      </c>
      <c r="F18" s="97" t="s">
        <v>261</v>
      </c>
      <c r="G18" s="99"/>
      <c r="H18" s="100"/>
      <c r="I18" s="101">
        <v>42501</v>
      </c>
      <c r="J18" s="102">
        <v>30</v>
      </c>
    </row>
    <row r="19" spans="1:10" x14ac:dyDescent="0.45">
      <c r="A19" s="96">
        <v>19</v>
      </c>
      <c r="B19" s="97" t="s">
        <v>262</v>
      </c>
      <c r="C19" s="98" t="s">
        <v>263</v>
      </c>
      <c r="D19" s="97" t="s">
        <v>264</v>
      </c>
      <c r="E19" s="97" t="s">
        <v>265</v>
      </c>
      <c r="F19" s="97" t="s">
        <v>266</v>
      </c>
      <c r="G19" s="99"/>
      <c r="H19" s="100"/>
      <c r="I19" s="101">
        <v>42747</v>
      </c>
      <c r="J19" s="102">
        <f>70+65+35</f>
        <v>170</v>
      </c>
    </row>
    <row r="20" spans="1:10" x14ac:dyDescent="0.45">
      <c r="A20" s="96">
        <v>20</v>
      </c>
      <c r="B20" s="97" t="s">
        <v>200</v>
      </c>
      <c r="C20" s="98" t="s">
        <v>267</v>
      </c>
      <c r="D20" s="97" t="s">
        <v>268</v>
      </c>
      <c r="E20" s="97" t="s">
        <v>269</v>
      </c>
      <c r="F20" s="97" t="s">
        <v>270</v>
      </c>
      <c r="G20" s="99"/>
      <c r="H20" s="100"/>
      <c r="I20" s="101">
        <v>42509</v>
      </c>
      <c r="J20" s="102">
        <v>30</v>
      </c>
    </row>
    <row r="21" spans="1:10" x14ac:dyDescent="0.45">
      <c r="A21" s="96">
        <v>21</v>
      </c>
      <c r="B21" s="97" t="s">
        <v>203</v>
      </c>
      <c r="C21" s="98" t="s">
        <v>271</v>
      </c>
      <c r="D21" s="97" t="s">
        <v>272</v>
      </c>
      <c r="E21" s="97" t="s">
        <v>273</v>
      </c>
      <c r="F21" s="97" t="s">
        <v>274</v>
      </c>
      <c r="G21" s="99"/>
      <c r="H21" s="100"/>
      <c r="I21" s="101">
        <v>42682</v>
      </c>
      <c r="J21" s="102">
        <v>65</v>
      </c>
    </row>
    <row r="22" spans="1:10" x14ac:dyDescent="0.45">
      <c r="A22" s="96">
        <v>22</v>
      </c>
      <c r="B22" s="97" t="s">
        <v>203</v>
      </c>
      <c r="C22" s="98" t="s">
        <v>275</v>
      </c>
      <c r="D22" s="97" t="s">
        <v>33</v>
      </c>
      <c r="E22" s="97" t="s">
        <v>238</v>
      </c>
      <c r="F22" s="97" t="s">
        <v>34</v>
      </c>
      <c r="G22" s="99"/>
      <c r="H22" s="100"/>
      <c r="I22" s="101">
        <v>42761</v>
      </c>
      <c r="J22" s="102">
        <v>100</v>
      </c>
    </row>
    <row r="23" spans="1:10" x14ac:dyDescent="0.45">
      <c r="A23" s="96">
        <v>23</v>
      </c>
      <c r="B23" s="97" t="s">
        <v>203</v>
      </c>
      <c r="C23" s="98" t="s">
        <v>276</v>
      </c>
      <c r="D23" s="97" t="s">
        <v>277</v>
      </c>
      <c r="E23" s="97" t="s">
        <v>278</v>
      </c>
      <c r="F23" s="97" t="s">
        <v>34</v>
      </c>
      <c r="G23" s="99"/>
      <c r="H23" s="100"/>
      <c r="I23" s="101">
        <v>42793</v>
      </c>
      <c r="J23" s="102">
        <v>300</v>
      </c>
    </row>
    <row r="24" spans="1:10" x14ac:dyDescent="0.45">
      <c r="A24" s="96">
        <v>24</v>
      </c>
      <c r="B24" s="97" t="s">
        <v>203</v>
      </c>
      <c r="C24" s="98" t="s">
        <v>279</v>
      </c>
      <c r="D24" s="97" t="s">
        <v>280</v>
      </c>
      <c r="E24" s="97" t="s">
        <v>281</v>
      </c>
      <c r="F24" s="97" t="s">
        <v>282</v>
      </c>
      <c r="G24" s="99"/>
      <c r="H24" s="100"/>
      <c r="I24" s="101">
        <v>42751</v>
      </c>
      <c r="J24" s="102">
        <v>200</v>
      </c>
    </row>
    <row r="25" spans="1:10" x14ac:dyDescent="0.45">
      <c r="A25" s="96">
        <v>25</v>
      </c>
      <c r="B25" s="97" t="s">
        <v>222</v>
      </c>
      <c r="C25" s="98" t="s">
        <v>283</v>
      </c>
      <c r="D25" s="97" t="s">
        <v>284</v>
      </c>
      <c r="E25" s="97" t="s">
        <v>211</v>
      </c>
      <c r="F25" s="97" t="s">
        <v>285</v>
      </c>
      <c r="G25" s="99"/>
      <c r="H25" s="100"/>
      <c r="I25" s="101">
        <v>42747</v>
      </c>
      <c r="J25" s="102">
        <v>100</v>
      </c>
    </row>
    <row r="26" spans="1:10" x14ac:dyDescent="0.45">
      <c r="A26" s="96">
        <v>26</v>
      </c>
      <c r="B26" s="97" t="s">
        <v>203</v>
      </c>
      <c r="C26" s="98" t="s">
        <v>286</v>
      </c>
      <c r="D26" s="97" t="s">
        <v>287</v>
      </c>
      <c r="E26" s="97" t="s">
        <v>288</v>
      </c>
      <c r="F26" s="97" t="s">
        <v>6</v>
      </c>
      <c r="G26" s="99"/>
      <c r="H26" s="100"/>
      <c r="I26" s="101">
        <v>42761</v>
      </c>
      <c r="J26" s="102">
        <v>100</v>
      </c>
    </row>
    <row r="27" spans="1:10" x14ac:dyDescent="0.45">
      <c r="A27" s="96">
        <v>27</v>
      </c>
      <c r="B27" s="98" t="s">
        <v>200</v>
      </c>
      <c r="C27" s="98" t="s">
        <v>289</v>
      </c>
      <c r="D27" s="98" t="s">
        <v>290</v>
      </c>
      <c r="E27" s="98" t="s">
        <v>291</v>
      </c>
      <c r="F27" s="98" t="s">
        <v>292</v>
      </c>
      <c r="G27" s="99"/>
      <c r="H27" s="100"/>
      <c r="I27" s="101">
        <v>42761</v>
      </c>
      <c r="J27" s="102">
        <v>100</v>
      </c>
    </row>
    <row r="28" spans="1:10" x14ac:dyDescent="0.45">
      <c r="A28" s="96">
        <v>28</v>
      </c>
      <c r="B28" s="98" t="s">
        <v>200</v>
      </c>
      <c r="C28" s="98" t="s">
        <v>293</v>
      </c>
      <c r="D28" s="98" t="s">
        <v>294</v>
      </c>
      <c r="E28" s="98" t="s">
        <v>295</v>
      </c>
      <c r="F28" s="98" t="s">
        <v>8</v>
      </c>
      <c r="G28" s="99"/>
      <c r="H28" s="100"/>
      <c r="I28" s="101">
        <v>42761</v>
      </c>
      <c r="J28" s="102">
        <v>100</v>
      </c>
    </row>
    <row r="29" spans="1:10" x14ac:dyDescent="0.45">
      <c r="A29" s="96">
        <v>29</v>
      </c>
      <c r="B29" s="97" t="s">
        <v>222</v>
      </c>
      <c r="C29" s="98" t="s">
        <v>296</v>
      </c>
      <c r="D29" s="103" t="s">
        <v>16</v>
      </c>
      <c r="E29" s="97" t="s">
        <v>297</v>
      </c>
      <c r="F29" s="97" t="s">
        <v>18</v>
      </c>
      <c r="G29" s="99"/>
      <c r="H29" s="100"/>
      <c r="I29" s="101">
        <v>42758</v>
      </c>
      <c r="J29" s="102">
        <v>70</v>
      </c>
    </row>
    <row r="30" spans="1:10" x14ac:dyDescent="0.45">
      <c r="A30" s="96">
        <v>30</v>
      </c>
      <c r="B30" s="97" t="s">
        <v>298</v>
      </c>
      <c r="C30" s="98" t="s">
        <v>299</v>
      </c>
      <c r="D30" s="97" t="s">
        <v>58</v>
      </c>
      <c r="E30" s="97" t="s">
        <v>300</v>
      </c>
      <c r="F30" s="97" t="s">
        <v>301</v>
      </c>
      <c r="G30" s="99"/>
      <c r="H30" s="100"/>
      <c r="I30" s="101">
        <v>42765</v>
      </c>
      <c r="J30" s="102">
        <v>100</v>
      </c>
    </row>
    <row r="31" spans="1:10" x14ac:dyDescent="0.45">
      <c r="A31" s="96">
        <v>31</v>
      </c>
      <c r="B31" s="97" t="s">
        <v>302</v>
      </c>
      <c r="C31" s="98" t="s">
        <v>303</v>
      </c>
      <c r="D31" s="97" t="s">
        <v>304</v>
      </c>
      <c r="E31" s="97" t="s">
        <v>305</v>
      </c>
      <c r="F31" s="97" t="s">
        <v>306</v>
      </c>
      <c r="G31" s="99"/>
      <c r="H31" s="100"/>
      <c r="I31" s="101">
        <v>42765</v>
      </c>
      <c r="J31" s="102">
        <v>100</v>
      </c>
    </row>
    <row r="32" spans="1:10" x14ac:dyDescent="0.45">
      <c r="A32" s="96">
        <v>32</v>
      </c>
      <c r="B32" s="97" t="s">
        <v>219</v>
      </c>
      <c r="C32" s="98" t="s">
        <v>25</v>
      </c>
      <c r="D32" s="97" t="s">
        <v>307</v>
      </c>
      <c r="E32" s="97" t="s">
        <v>308</v>
      </c>
      <c r="F32" s="97" t="s">
        <v>309</v>
      </c>
      <c r="G32" s="99"/>
      <c r="H32" s="100"/>
      <c r="I32" s="101">
        <v>42747</v>
      </c>
      <c r="J32" s="102">
        <v>165</v>
      </c>
    </row>
    <row r="33" spans="1:10" x14ac:dyDescent="0.45">
      <c r="A33" s="96">
        <v>33</v>
      </c>
      <c r="B33" s="97" t="s">
        <v>298</v>
      </c>
      <c r="C33" s="98" t="s">
        <v>235</v>
      </c>
      <c r="D33" s="97" t="s">
        <v>59</v>
      </c>
      <c r="E33" s="97" t="s">
        <v>310</v>
      </c>
      <c r="F33" s="97" t="s">
        <v>6</v>
      </c>
      <c r="G33" s="99"/>
      <c r="H33" s="100"/>
      <c r="I33" s="101">
        <v>42529</v>
      </c>
      <c r="J33" s="102">
        <v>30</v>
      </c>
    </row>
    <row r="34" spans="1:10" x14ac:dyDescent="0.45">
      <c r="A34" s="96">
        <v>34</v>
      </c>
      <c r="B34" s="97" t="s">
        <v>219</v>
      </c>
      <c r="C34" s="98" t="s">
        <v>311</v>
      </c>
      <c r="D34" s="97" t="s">
        <v>312</v>
      </c>
      <c r="E34" s="97" t="s">
        <v>313</v>
      </c>
      <c r="F34" s="97" t="s">
        <v>314</v>
      </c>
      <c r="G34" s="99"/>
      <c r="H34" s="100"/>
      <c r="I34" s="101">
        <v>42761</v>
      </c>
      <c r="J34" s="102">
        <v>100</v>
      </c>
    </row>
    <row r="35" spans="1:10" x14ac:dyDescent="0.45">
      <c r="A35" s="96">
        <v>35</v>
      </c>
      <c r="B35" s="97" t="s">
        <v>219</v>
      </c>
      <c r="C35" s="98" t="s">
        <v>45</v>
      </c>
      <c r="D35" s="97" t="s">
        <v>315</v>
      </c>
      <c r="E35" s="97" t="s">
        <v>316</v>
      </c>
      <c r="F35" s="97" t="s">
        <v>266</v>
      </c>
      <c r="G35" s="99"/>
      <c r="H35" s="100"/>
      <c r="I35" s="101">
        <v>42625</v>
      </c>
      <c r="J35" s="102">
        <v>65</v>
      </c>
    </row>
    <row r="36" spans="1:10" x14ac:dyDescent="0.45">
      <c r="A36" s="96">
        <v>36</v>
      </c>
      <c r="B36" s="98" t="s">
        <v>203</v>
      </c>
      <c r="C36" s="98" t="s">
        <v>201</v>
      </c>
      <c r="D36" s="98" t="s">
        <v>317</v>
      </c>
      <c r="E36" s="98" t="s">
        <v>318</v>
      </c>
      <c r="F36" s="98" t="s">
        <v>234</v>
      </c>
      <c r="G36" s="99"/>
      <c r="H36" s="100"/>
      <c r="I36" s="101">
        <v>42747</v>
      </c>
      <c r="J36" s="102">
        <v>100</v>
      </c>
    </row>
    <row r="37" spans="1:10" x14ac:dyDescent="0.45">
      <c r="A37" s="96">
        <v>37</v>
      </c>
      <c r="B37" s="97" t="s">
        <v>219</v>
      </c>
      <c r="C37" s="98" t="s">
        <v>45</v>
      </c>
      <c r="D37" s="97" t="s">
        <v>524</v>
      </c>
      <c r="E37" s="97" t="s">
        <v>319</v>
      </c>
      <c r="F37" s="97" t="s">
        <v>320</v>
      </c>
      <c r="G37" s="99"/>
      <c r="H37" s="100"/>
      <c r="I37" s="101">
        <v>42755</v>
      </c>
      <c r="J37" s="102">
        <v>170</v>
      </c>
    </row>
    <row r="38" spans="1:10" x14ac:dyDescent="0.45">
      <c r="A38" s="96">
        <v>38</v>
      </c>
      <c r="B38" s="97" t="s">
        <v>298</v>
      </c>
      <c r="C38" s="98" t="s">
        <v>321</v>
      </c>
      <c r="D38" s="97" t="s">
        <v>1</v>
      </c>
      <c r="E38" s="97" t="s">
        <v>322</v>
      </c>
      <c r="F38" s="97" t="s">
        <v>2</v>
      </c>
      <c r="G38" s="99"/>
      <c r="H38" s="100"/>
      <c r="I38" s="101">
        <v>42766</v>
      </c>
      <c r="J38" s="102">
        <v>100</v>
      </c>
    </row>
    <row r="39" spans="1:10" x14ac:dyDescent="0.45">
      <c r="A39" s="96">
        <v>39</v>
      </c>
      <c r="B39" s="97" t="s">
        <v>222</v>
      </c>
      <c r="C39" s="98" t="s">
        <v>323</v>
      </c>
      <c r="D39" s="97" t="s">
        <v>324</v>
      </c>
      <c r="E39" s="97" t="s">
        <v>253</v>
      </c>
      <c r="F39" s="97" t="s">
        <v>32</v>
      </c>
      <c r="G39" s="99"/>
      <c r="H39" s="100"/>
      <c r="I39" s="101">
        <v>42747</v>
      </c>
      <c r="J39" s="102">
        <v>100</v>
      </c>
    </row>
    <row r="40" spans="1:10" x14ac:dyDescent="0.45">
      <c r="A40" s="96">
        <v>40</v>
      </c>
      <c r="B40" s="97" t="s">
        <v>203</v>
      </c>
      <c r="C40" s="98" t="s">
        <v>325</v>
      </c>
      <c r="D40" s="97" t="s">
        <v>29</v>
      </c>
      <c r="E40" s="97" t="s">
        <v>326</v>
      </c>
      <c r="F40" s="97" t="s">
        <v>30</v>
      </c>
      <c r="G40" s="99"/>
      <c r="H40" s="100"/>
      <c r="I40" s="101">
        <v>42758</v>
      </c>
      <c r="J40" s="102">
        <v>100</v>
      </c>
    </row>
    <row r="41" spans="1:10" x14ac:dyDescent="0.45">
      <c r="A41" s="96">
        <v>41</v>
      </c>
      <c r="B41" s="97" t="s">
        <v>219</v>
      </c>
      <c r="C41" s="98" t="s">
        <v>327</v>
      </c>
      <c r="D41" s="97" t="s">
        <v>328</v>
      </c>
      <c r="E41" s="97" t="s">
        <v>211</v>
      </c>
      <c r="F41" s="97" t="s">
        <v>329</v>
      </c>
      <c r="G41" s="99"/>
      <c r="H41" s="100"/>
      <c r="I41" s="101">
        <v>42496</v>
      </c>
      <c r="J41" s="102">
        <v>30</v>
      </c>
    </row>
    <row r="42" spans="1:10" x14ac:dyDescent="0.45">
      <c r="A42" s="96">
        <v>42</v>
      </c>
      <c r="B42" s="97" t="s">
        <v>219</v>
      </c>
      <c r="C42" s="98" t="s">
        <v>330</v>
      </c>
      <c r="D42" s="97" t="s">
        <v>46</v>
      </c>
      <c r="E42" s="97" t="s">
        <v>331</v>
      </c>
      <c r="F42" s="97" t="s">
        <v>332</v>
      </c>
      <c r="G42" s="99"/>
      <c r="H42" s="100"/>
      <c r="I42" s="101">
        <v>42752</v>
      </c>
      <c r="J42" s="102">
        <v>100</v>
      </c>
    </row>
    <row r="43" spans="1:10" x14ac:dyDescent="0.45">
      <c r="A43" s="96">
        <v>43</v>
      </c>
      <c r="B43" s="97" t="s">
        <v>222</v>
      </c>
      <c r="C43" s="98" t="s">
        <v>333</v>
      </c>
      <c r="D43" s="103" t="s">
        <v>75</v>
      </c>
      <c r="E43" s="97" t="s">
        <v>334</v>
      </c>
      <c r="F43" s="97" t="s">
        <v>76</v>
      </c>
      <c r="G43" s="99"/>
      <c r="H43" s="100"/>
      <c r="I43" s="101">
        <v>42766</v>
      </c>
      <c r="J43" s="102">
        <v>90</v>
      </c>
    </row>
    <row r="44" spans="1:10" x14ac:dyDescent="0.45">
      <c r="A44" s="96">
        <v>44</v>
      </c>
      <c r="B44" s="97" t="s">
        <v>203</v>
      </c>
      <c r="C44" s="98" t="s">
        <v>335</v>
      </c>
      <c r="D44" s="103" t="s">
        <v>336</v>
      </c>
      <c r="E44" s="97" t="s">
        <v>337</v>
      </c>
      <c r="F44" s="97" t="s">
        <v>338</v>
      </c>
      <c r="G44" s="99"/>
      <c r="H44" s="100"/>
      <c r="I44" s="101">
        <v>42758</v>
      </c>
      <c r="J44" s="102">
        <v>35</v>
      </c>
    </row>
    <row r="45" spans="1:10" x14ac:dyDescent="0.45">
      <c r="A45" s="96">
        <v>45</v>
      </c>
      <c r="B45" s="97" t="s">
        <v>219</v>
      </c>
      <c r="C45" s="98" t="s">
        <v>339</v>
      </c>
      <c r="D45" s="97" t="s">
        <v>340</v>
      </c>
      <c r="E45" s="97" t="s">
        <v>341</v>
      </c>
      <c r="F45" s="97" t="s">
        <v>274</v>
      </c>
      <c r="G45" s="99"/>
      <c r="H45" s="100"/>
      <c r="I45" s="101">
        <v>42754</v>
      </c>
      <c r="J45" s="102">
        <v>135</v>
      </c>
    </row>
    <row r="46" spans="1:10" x14ac:dyDescent="0.45">
      <c r="A46" s="96">
        <v>46</v>
      </c>
      <c r="B46" s="97" t="s">
        <v>203</v>
      </c>
      <c r="C46" s="98" t="s">
        <v>21</v>
      </c>
      <c r="D46" s="97" t="s">
        <v>342</v>
      </c>
      <c r="E46" s="97" t="s">
        <v>343</v>
      </c>
      <c r="F46" s="97" t="s">
        <v>11</v>
      </c>
      <c r="G46" s="99"/>
      <c r="H46" s="100"/>
      <c r="I46" s="101">
        <v>42752</v>
      </c>
      <c r="J46" s="102">
        <v>165</v>
      </c>
    </row>
    <row r="47" spans="1:10" x14ac:dyDescent="0.45">
      <c r="A47" s="96">
        <v>47</v>
      </c>
      <c r="B47" s="97" t="s">
        <v>219</v>
      </c>
      <c r="C47" s="98" t="s">
        <v>97</v>
      </c>
      <c r="D47" s="97" t="s">
        <v>344</v>
      </c>
      <c r="E47" s="97" t="s">
        <v>345</v>
      </c>
      <c r="F47" s="97" t="s">
        <v>261</v>
      </c>
      <c r="G47" s="99"/>
      <c r="H47" s="100"/>
      <c r="I47" s="101">
        <v>42752</v>
      </c>
      <c r="J47" s="102">
        <v>200</v>
      </c>
    </row>
    <row r="48" spans="1:10" x14ac:dyDescent="0.45">
      <c r="A48" s="96">
        <v>48</v>
      </c>
      <c r="B48" s="97" t="s">
        <v>298</v>
      </c>
      <c r="C48" s="98" t="s">
        <v>346</v>
      </c>
      <c r="D48" s="103" t="s">
        <v>342</v>
      </c>
      <c r="E48" s="97" t="s">
        <v>347</v>
      </c>
      <c r="F48" s="97" t="s">
        <v>348</v>
      </c>
      <c r="G48" s="99"/>
      <c r="H48" s="100"/>
      <c r="I48" s="104">
        <v>42640</v>
      </c>
      <c r="J48" s="102">
        <v>65</v>
      </c>
    </row>
    <row r="49" spans="1:10" x14ac:dyDescent="0.45">
      <c r="A49" s="96">
        <v>49</v>
      </c>
      <c r="B49" s="97" t="s">
        <v>203</v>
      </c>
      <c r="C49" s="98" t="s">
        <v>204</v>
      </c>
      <c r="D49" s="97" t="s">
        <v>349</v>
      </c>
      <c r="E49" s="97" t="s">
        <v>350</v>
      </c>
      <c r="F49" s="97" t="s">
        <v>246</v>
      </c>
      <c r="G49" s="99"/>
      <c r="H49" s="100"/>
      <c r="I49" s="101">
        <v>42761</v>
      </c>
      <c r="J49" s="102">
        <v>100</v>
      </c>
    </row>
    <row r="50" spans="1:10" x14ac:dyDescent="0.45">
      <c r="A50" s="96">
        <v>50</v>
      </c>
      <c r="B50" s="97" t="s">
        <v>203</v>
      </c>
      <c r="C50" s="98" t="s">
        <v>351</v>
      </c>
      <c r="D50" s="103" t="s">
        <v>20</v>
      </c>
      <c r="E50" s="97" t="s">
        <v>22</v>
      </c>
      <c r="F50" s="97" t="s">
        <v>23</v>
      </c>
      <c r="G50" s="99"/>
      <c r="H50" s="100"/>
      <c r="I50" s="101">
        <v>42758</v>
      </c>
      <c r="J50" s="102">
        <v>63</v>
      </c>
    </row>
    <row r="51" spans="1:10" x14ac:dyDescent="0.45">
      <c r="A51" s="96">
        <v>51</v>
      </c>
      <c r="B51" s="97" t="s">
        <v>302</v>
      </c>
      <c r="C51" s="98" t="s">
        <v>352</v>
      </c>
      <c r="D51" s="97" t="s">
        <v>353</v>
      </c>
      <c r="E51" s="97" t="s">
        <v>354</v>
      </c>
      <c r="F51" s="97" t="s">
        <v>70</v>
      </c>
      <c r="G51" s="99"/>
      <c r="H51" s="100"/>
      <c r="I51" s="101">
        <v>42761</v>
      </c>
      <c r="J51" s="102">
        <v>100</v>
      </c>
    </row>
    <row r="52" spans="1:10" x14ac:dyDescent="0.45">
      <c r="A52" s="96">
        <v>52</v>
      </c>
      <c r="B52" s="98" t="s">
        <v>219</v>
      </c>
      <c r="C52" s="98" t="s">
        <v>355</v>
      </c>
      <c r="D52" s="105" t="s">
        <v>356</v>
      </c>
      <c r="E52" s="98" t="s">
        <v>357</v>
      </c>
      <c r="F52" s="98" t="s">
        <v>18</v>
      </c>
      <c r="G52" s="99"/>
      <c r="H52" s="100"/>
      <c r="I52" s="101">
        <v>42762</v>
      </c>
      <c r="J52" s="102">
        <v>70</v>
      </c>
    </row>
    <row r="53" spans="1:10" x14ac:dyDescent="0.45">
      <c r="A53" s="96">
        <v>53</v>
      </c>
      <c r="B53" s="97" t="s">
        <v>203</v>
      </c>
      <c r="C53" s="98" t="s">
        <v>358</v>
      </c>
      <c r="D53" s="97" t="s">
        <v>359</v>
      </c>
      <c r="E53" s="97" t="s">
        <v>253</v>
      </c>
      <c r="F53" s="97" t="s">
        <v>360</v>
      </c>
      <c r="G53" s="99"/>
      <c r="H53" s="100"/>
      <c r="I53" s="101">
        <v>42695</v>
      </c>
      <c r="J53" s="102">
        <v>65</v>
      </c>
    </row>
    <row r="54" spans="1:10" x14ac:dyDescent="0.45">
      <c r="A54" s="96">
        <v>54</v>
      </c>
      <c r="B54" s="97" t="s">
        <v>203</v>
      </c>
      <c r="C54" s="98" t="s">
        <v>335</v>
      </c>
      <c r="D54" s="97" t="s">
        <v>361</v>
      </c>
      <c r="E54" s="97" t="s">
        <v>362</v>
      </c>
      <c r="F54" s="97" t="s">
        <v>363</v>
      </c>
      <c r="G54" s="99"/>
      <c r="H54" s="100"/>
      <c r="I54" s="101">
        <v>42758</v>
      </c>
      <c r="J54" s="102">
        <v>130</v>
      </c>
    </row>
    <row r="55" spans="1:10" x14ac:dyDescent="0.45">
      <c r="A55" s="96">
        <v>55</v>
      </c>
      <c r="B55" s="97" t="s">
        <v>219</v>
      </c>
      <c r="C55" s="98" t="s">
        <v>339</v>
      </c>
      <c r="D55" s="97" t="s">
        <v>364</v>
      </c>
      <c r="E55" s="97" t="s">
        <v>365</v>
      </c>
      <c r="F55" s="97" t="s">
        <v>218</v>
      </c>
      <c r="G55" s="99"/>
      <c r="H55" s="100"/>
      <c r="I55" s="101">
        <v>42758</v>
      </c>
      <c r="J55" s="102">
        <v>200</v>
      </c>
    </row>
    <row r="56" spans="1:10" x14ac:dyDescent="0.45">
      <c r="A56" s="96">
        <v>56</v>
      </c>
      <c r="B56" s="97" t="s">
        <v>219</v>
      </c>
      <c r="C56" s="98" t="s">
        <v>366</v>
      </c>
      <c r="D56" s="97" t="s">
        <v>367</v>
      </c>
      <c r="E56" s="97" t="s">
        <v>368</v>
      </c>
      <c r="F56" s="97" t="s">
        <v>369</v>
      </c>
      <c r="G56" s="99"/>
      <c r="H56" s="100"/>
      <c r="I56" s="101">
        <v>42773</v>
      </c>
      <c r="J56" s="102">
        <v>300</v>
      </c>
    </row>
    <row r="57" spans="1:10" x14ac:dyDescent="0.45">
      <c r="A57" s="96">
        <v>57</v>
      </c>
      <c r="B57" s="97" t="s">
        <v>219</v>
      </c>
      <c r="C57" s="98" t="s">
        <v>45</v>
      </c>
      <c r="D57" s="97" t="s">
        <v>80</v>
      </c>
      <c r="E57" s="106" t="s">
        <v>370</v>
      </c>
      <c r="F57" s="97" t="s">
        <v>81</v>
      </c>
      <c r="G57" s="107"/>
      <c r="H57" s="107"/>
      <c r="I57" s="104">
        <v>42751</v>
      </c>
      <c r="J57" s="102">
        <v>70</v>
      </c>
    </row>
    <row r="58" spans="1:10" x14ac:dyDescent="0.45">
      <c r="A58" s="96">
        <v>58</v>
      </c>
      <c r="B58" s="97" t="s">
        <v>262</v>
      </c>
      <c r="C58" s="98" t="s">
        <v>333</v>
      </c>
      <c r="D58" s="97" t="s">
        <v>371</v>
      </c>
      <c r="E58" s="97" t="s">
        <v>372</v>
      </c>
      <c r="F58" s="97" t="s">
        <v>34</v>
      </c>
      <c r="G58" s="99"/>
      <c r="H58" s="100"/>
      <c r="I58" s="101">
        <v>42751</v>
      </c>
      <c r="J58" s="102">
        <v>100</v>
      </c>
    </row>
    <row r="59" spans="1:10" x14ac:dyDescent="0.45">
      <c r="A59" s="96">
        <v>59</v>
      </c>
      <c r="B59" s="97" t="s">
        <v>262</v>
      </c>
      <c r="C59" s="98" t="s">
        <v>373</v>
      </c>
      <c r="D59" s="97" t="s">
        <v>374</v>
      </c>
      <c r="E59" s="97" t="s">
        <v>375</v>
      </c>
      <c r="F59" s="97" t="s">
        <v>376</v>
      </c>
      <c r="G59" s="99"/>
      <c r="H59" s="100"/>
      <c r="I59" s="101">
        <v>42489</v>
      </c>
      <c r="J59" s="102">
        <v>30</v>
      </c>
    </row>
    <row r="60" spans="1:10" x14ac:dyDescent="0.45">
      <c r="A60" s="96">
        <v>60</v>
      </c>
      <c r="B60" s="98" t="s">
        <v>262</v>
      </c>
      <c r="C60" s="98" t="s">
        <v>377</v>
      </c>
      <c r="D60" s="98" t="s">
        <v>110</v>
      </c>
      <c r="E60" s="98" t="s">
        <v>378</v>
      </c>
      <c r="F60" s="98" t="s">
        <v>379</v>
      </c>
      <c r="G60" s="99"/>
      <c r="H60" s="100"/>
      <c r="I60" s="101">
        <v>42506</v>
      </c>
      <c r="J60" s="102">
        <v>60</v>
      </c>
    </row>
    <row r="61" spans="1:10" x14ac:dyDescent="0.45">
      <c r="A61" s="96">
        <v>61</v>
      </c>
      <c r="B61" s="97" t="s">
        <v>200</v>
      </c>
      <c r="C61" s="98" t="s">
        <v>380</v>
      </c>
      <c r="D61" s="97" t="s">
        <v>381</v>
      </c>
      <c r="E61" s="106" t="s">
        <v>382</v>
      </c>
      <c r="F61" s="97" t="s">
        <v>64</v>
      </c>
      <c r="G61" s="107"/>
      <c r="H61" s="107"/>
      <c r="I61" s="104">
        <v>42758</v>
      </c>
      <c r="J61" s="102">
        <v>70</v>
      </c>
    </row>
    <row r="62" spans="1:10" x14ac:dyDescent="0.45">
      <c r="A62" s="96">
        <v>62</v>
      </c>
      <c r="B62" s="97" t="s">
        <v>219</v>
      </c>
      <c r="C62" s="98" t="s">
        <v>383</v>
      </c>
      <c r="D62" s="97" t="s">
        <v>3</v>
      </c>
      <c r="E62" s="97" t="s">
        <v>372</v>
      </c>
      <c r="F62" s="97" t="s">
        <v>4</v>
      </c>
      <c r="G62" s="99"/>
      <c r="H62" s="100"/>
      <c r="I62" s="101">
        <v>42767</v>
      </c>
      <c r="J62" s="102">
        <v>200</v>
      </c>
    </row>
    <row r="63" spans="1:10" x14ac:dyDescent="0.45">
      <c r="A63" s="96">
        <v>63</v>
      </c>
      <c r="B63" s="97" t="s">
        <v>203</v>
      </c>
      <c r="C63" s="98" t="s">
        <v>384</v>
      </c>
      <c r="D63" s="97" t="s">
        <v>82</v>
      </c>
      <c r="E63" s="106" t="s">
        <v>385</v>
      </c>
      <c r="F63" s="97" t="s">
        <v>386</v>
      </c>
      <c r="G63" s="107"/>
      <c r="H63" s="107"/>
      <c r="I63" s="104">
        <v>42758</v>
      </c>
      <c r="J63" s="102">
        <v>140</v>
      </c>
    </row>
    <row r="64" spans="1:10" x14ac:dyDescent="0.45">
      <c r="A64" s="96">
        <v>64</v>
      </c>
      <c r="B64" s="97" t="s">
        <v>219</v>
      </c>
      <c r="C64" s="98" t="s">
        <v>387</v>
      </c>
      <c r="D64" s="97" t="s">
        <v>388</v>
      </c>
      <c r="E64" s="97" t="s">
        <v>389</v>
      </c>
      <c r="F64" s="97" t="s">
        <v>390</v>
      </c>
      <c r="G64" s="99"/>
      <c r="H64" s="100"/>
      <c r="I64" s="101">
        <v>42751</v>
      </c>
      <c r="J64" s="102">
        <v>170</v>
      </c>
    </row>
    <row r="65" spans="1:10" x14ac:dyDescent="0.45">
      <c r="A65" s="96">
        <v>65</v>
      </c>
      <c r="B65" s="107" t="s">
        <v>200</v>
      </c>
      <c r="C65" s="107" t="s">
        <v>391</v>
      </c>
      <c r="D65" s="107" t="s">
        <v>83</v>
      </c>
      <c r="E65" s="106" t="s">
        <v>84</v>
      </c>
      <c r="F65" s="107" t="s">
        <v>85</v>
      </c>
      <c r="G65" s="107"/>
      <c r="H65" s="107"/>
      <c r="I65" s="104">
        <v>42761</v>
      </c>
      <c r="J65" s="107">
        <v>70</v>
      </c>
    </row>
    <row r="66" spans="1:10" x14ac:dyDescent="0.45">
      <c r="A66" s="96">
        <v>66</v>
      </c>
      <c r="B66" s="108" t="s">
        <v>219</v>
      </c>
      <c r="C66" s="109" t="s">
        <v>461</v>
      </c>
      <c r="D66" s="108" t="s">
        <v>462</v>
      </c>
      <c r="E66" s="110" t="s">
        <v>463</v>
      </c>
      <c r="F66" s="108" t="s">
        <v>70</v>
      </c>
      <c r="I66" s="111">
        <v>42753</v>
      </c>
      <c r="J66" s="112">
        <v>100</v>
      </c>
    </row>
    <row r="67" spans="1:10" x14ac:dyDescent="0.45">
      <c r="A67" s="96">
        <v>67</v>
      </c>
      <c r="B67" s="97" t="s">
        <v>262</v>
      </c>
      <c r="C67" s="98" t="s">
        <v>392</v>
      </c>
      <c r="D67" s="97" t="s">
        <v>24</v>
      </c>
      <c r="E67" s="97" t="s">
        <v>393</v>
      </c>
      <c r="F67" s="97" t="s">
        <v>26</v>
      </c>
      <c r="G67" s="99"/>
      <c r="H67" s="100"/>
      <c r="I67" s="101">
        <v>42751</v>
      </c>
      <c r="J67" s="102">
        <v>100</v>
      </c>
    </row>
    <row r="68" spans="1:10" x14ac:dyDescent="0.45">
      <c r="A68" s="96">
        <v>68</v>
      </c>
      <c r="B68" s="98" t="s">
        <v>203</v>
      </c>
      <c r="C68" s="98" t="s">
        <v>293</v>
      </c>
      <c r="D68" s="98" t="s">
        <v>67</v>
      </c>
      <c r="E68" s="98" t="s">
        <v>368</v>
      </c>
      <c r="F68" s="98" t="s">
        <v>8</v>
      </c>
      <c r="G68" s="99"/>
      <c r="H68" s="100"/>
      <c r="I68" s="101">
        <v>42762</v>
      </c>
      <c r="J68" s="102">
        <v>100</v>
      </c>
    </row>
    <row r="69" spans="1:10" x14ac:dyDescent="0.45">
      <c r="A69" s="96">
        <v>69</v>
      </c>
      <c r="B69" s="97" t="s">
        <v>219</v>
      </c>
      <c r="C69" s="98" t="s">
        <v>394</v>
      </c>
      <c r="D69" s="97" t="s">
        <v>395</v>
      </c>
      <c r="E69" s="97" t="s">
        <v>396</v>
      </c>
      <c r="F69" s="97" t="s">
        <v>397</v>
      </c>
      <c r="G69" s="99"/>
      <c r="H69" s="100"/>
      <c r="I69" s="101">
        <v>42500</v>
      </c>
      <c r="J69" s="102">
        <v>60</v>
      </c>
    </row>
    <row r="70" spans="1:10" x14ac:dyDescent="0.45">
      <c r="A70" s="96">
        <v>70</v>
      </c>
      <c r="B70" s="97" t="s">
        <v>203</v>
      </c>
      <c r="C70" s="98" t="s">
        <v>283</v>
      </c>
      <c r="D70" s="97" t="s">
        <v>398</v>
      </c>
      <c r="E70" s="106" t="s">
        <v>399</v>
      </c>
      <c r="F70" s="107" t="s">
        <v>400</v>
      </c>
      <c r="G70" s="107"/>
      <c r="H70" s="107"/>
      <c r="I70" s="104">
        <v>42875</v>
      </c>
      <c r="J70" s="102">
        <v>30</v>
      </c>
    </row>
    <row r="71" spans="1:10" x14ac:dyDescent="0.45">
      <c r="A71" s="96">
        <v>71</v>
      </c>
      <c r="B71" s="97" t="s">
        <v>203</v>
      </c>
      <c r="C71" s="98" t="s">
        <v>401</v>
      </c>
      <c r="D71" s="97" t="s">
        <v>402</v>
      </c>
      <c r="E71" s="97" t="s">
        <v>403</v>
      </c>
      <c r="F71" s="97" t="s">
        <v>404</v>
      </c>
      <c r="G71" s="99"/>
      <c r="H71" s="100"/>
      <c r="I71" s="101">
        <v>42635</v>
      </c>
      <c r="J71" s="102">
        <v>65</v>
      </c>
    </row>
    <row r="72" spans="1:10" x14ac:dyDescent="0.45">
      <c r="A72" s="96">
        <v>72</v>
      </c>
      <c r="B72" s="97" t="s">
        <v>298</v>
      </c>
      <c r="C72" s="98" t="s">
        <v>254</v>
      </c>
      <c r="D72" s="97" t="s">
        <v>405</v>
      </c>
      <c r="E72" s="97" t="s">
        <v>406</v>
      </c>
      <c r="F72" s="97" t="s">
        <v>230</v>
      </c>
      <c r="G72" s="99"/>
      <c r="H72" s="100"/>
      <c r="I72" s="101">
        <v>42753</v>
      </c>
      <c r="J72" s="102">
        <v>100</v>
      </c>
    </row>
    <row r="73" spans="1:10" x14ac:dyDescent="0.45">
      <c r="A73" s="96">
        <v>73</v>
      </c>
      <c r="B73" s="97" t="s">
        <v>203</v>
      </c>
      <c r="C73" s="98" t="s">
        <v>407</v>
      </c>
      <c r="D73" s="97" t="s">
        <v>408</v>
      </c>
      <c r="E73" s="97" t="s">
        <v>409</v>
      </c>
      <c r="F73" s="97" t="s">
        <v>114</v>
      </c>
      <c r="G73" s="99"/>
      <c r="H73" s="100"/>
      <c r="I73" s="101">
        <v>42758</v>
      </c>
      <c r="J73" s="102">
        <v>70</v>
      </c>
    </row>
    <row r="74" spans="1:10" x14ac:dyDescent="0.45">
      <c r="A74" s="96">
        <v>74</v>
      </c>
      <c r="B74" s="107" t="s">
        <v>242</v>
      </c>
      <c r="C74" s="107" t="s">
        <v>410</v>
      </c>
      <c r="D74" s="107" t="s">
        <v>411</v>
      </c>
      <c r="E74" s="106" t="s">
        <v>412</v>
      </c>
      <c r="F74" s="107" t="s">
        <v>114</v>
      </c>
      <c r="G74" s="107"/>
      <c r="H74" s="107"/>
      <c r="I74" s="104">
        <v>42758</v>
      </c>
      <c r="J74" s="107">
        <v>70</v>
      </c>
    </row>
    <row r="75" spans="1:10" x14ac:dyDescent="0.45">
      <c r="A75" s="96">
        <v>75</v>
      </c>
      <c r="B75" s="97" t="s">
        <v>219</v>
      </c>
      <c r="C75" s="98" t="s">
        <v>413</v>
      </c>
      <c r="D75" s="97" t="s">
        <v>408</v>
      </c>
      <c r="E75" s="97" t="s">
        <v>389</v>
      </c>
      <c r="F75" s="97" t="s">
        <v>6</v>
      </c>
      <c r="G75" s="99"/>
      <c r="H75" s="100"/>
      <c r="I75" s="101">
        <v>42747</v>
      </c>
      <c r="J75" s="102">
        <v>100</v>
      </c>
    </row>
    <row r="76" spans="1:10" x14ac:dyDescent="0.45">
      <c r="A76" s="96">
        <v>76</v>
      </c>
      <c r="B76" s="98" t="s">
        <v>203</v>
      </c>
      <c r="C76" s="98" t="s">
        <v>414</v>
      </c>
      <c r="D76" s="98" t="s">
        <v>40</v>
      </c>
      <c r="E76" s="98" t="s">
        <v>415</v>
      </c>
      <c r="F76" s="98" t="s">
        <v>397</v>
      </c>
      <c r="G76" s="99"/>
      <c r="H76" s="100"/>
      <c r="I76" s="101">
        <v>42769</v>
      </c>
      <c r="J76" s="102">
        <v>65</v>
      </c>
    </row>
    <row r="77" spans="1:10" x14ac:dyDescent="0.45">
      <c r="A77" s="96">
        <v>77</v>
      </c>
      <c r="B77" s="97" t="s">
        <v>219</v>
      </c>
      <c r="C77" s="98" t="s">
        <v>45</v>
      </c>
      <c r="D77" s="103" t="s">
        <v>416</v>
      </c>
      <c r="E77" s="97" t="s">
        <v>345</v>
      </c>
      <c r="F77" s="97" t="s">
        <v>417</v>
      </c>
      <c r="G77" s="99"/>
      <c r="H77" s="100"/>
      <c r="I77" s="101">
        <v>42808</v>
      </c>
      <c r="J77" s="102">
        <v>70</v>
      </c>
    </row>
    <row r="78" spans="1:10" x14ac:dyDescent="0.45">
      <c r="A78" s="96">
        <v>78</v>
      </c>
      <c r="B78" s="97" t="s">
        <v>222</v>
      </c>
      <c r="C78" s="98" t="s">
        <v>418</v>
      </c>
      <c r="D78" s="103" t="s">
        <v>419</v>
      </c>
      <c r="E78" s="97" t="s">
        <v>56</v>
      </c>
      <c r="F78" s="97" t="s">
        <v>57</v>
      </c>
      <c r="G78" s="99"/>
      <c r="H78" s="100"/>
      <c r="I78" s="101">
        <v>42758</v>
      </c>
      <c r="J78" s="102">
        <v>70</v>
      </c>
    </row>
    <row r="79" spans="1:10" x14ac:dyDescent="0.45">
      <c r="A79" s="96">
        <v>79</v>
      </c>
      <c r="B79" s="97" t="s">
        <v>298</v>
      </c>
      <c r="C79" s="98" t="s">
        <v>420</v>
      </c>
      <c r="D79" s="97" t="s">
        <v>10</v>
      </c>
      <c r="E79" s="97" t="s">
        <v>421</v>
      </c>
      <c r="F79" s="97" t="s">
        <v>11</v>
      </c>
      <c r="G79" s="99"/>
      <c r="H79" s="100"/>
      <c r="I79" s="101">
        <v>42766</v>
      </c>
      <c r="J79" s="102">
        <v>90</v>
      </c>
    </row>
    <row r="80" spans="1:10" x14ac:dyDescent="0.45">
      <c r="A80" s="96">
        <v>80</v>
      </c>
      <c r="B80" s="97" t="s">
        <v>219</v>
      </c>
      <c r="C80" s="98" t="s">
        <v>45</v>
      </c>
      <c r="D80" s="97" t="s">
        <v>422</v>
      </c>
      <c r="E80" s="97" t="s">
        <v>396</v>
      </c>
      <c r="F80" s="97" t="s">
        <v>423</v>
      </c>
      <c r="G80" s="99"/>
      <c r="H80" s="100"/>
      <c r="I80" s="101">
        <v>42758</v>
      </c>
      <c r="J80" s="102">
        <v>100</v>
      </c>
    </row>
    <row r="81" spans="1:10" x14ac:dyDescent="0.45">
      <c r="A81" s="96">
        <v>81</v>
      </c>
      <c r="B81" s="97" t="s">
        <v>298</v>
      </c>
      <c r="C81" s="98" t="s">
        <v>424</v>
      </c>
      <c r="D81" s="97" t="s">
        <v>425</v>
      </c>
      <c r="E81" s="97" t="s">
        <v>426</v>
      </c>
      <c r="F81" s="97" t="s">
        <v>427</v>
      </c>
      <c r="G81" s="99"/>
      <c r="H81" s="100"/>
      <c r="I81" s="101">
        <v>42747</v>
      </c>
      <c r="J81" s="102">
        <v>100</v>
      </c>
    </row>
    <row r="82" spans="1:10" x14ac:dyDescent="0.45">
      <c r="A82" s="96">
        <v>82</v>
      </c>
      <c r="B82" s="97" t="s">
        <v>219</v>
      </c>
      <c r="C82" s="98" t="s">
        <v>41</v>
      </c>
      <c r="D82" s="97" t="s">
        <v>77</v>
      </c>
      <c r="E82" s="97" t="s">
        <v>428</v>
      </c>
      <c r="F82" s="97" t="s">
        <v>18</v>
      </c>
      <c r="G82" s="99"/>
      <c r="H82" s="100"/>
      <c r="I82" s="101">
        <v>42811</v>
      </c>
      <c r="J82" s="102">
        <v>235</v>
      </c>
    </row>
    <row r="83" spans="1:10" x14ac:dyDescent="0.45">
      <c r="A83" s="96">
        <v>83</v>
      </c>
      <c r="B83" s="97" t="s">
        <v>219</v>
      </c>
      <c r="C83" s="98" t="s">
        <v>235</v>
      </c>
      <c r="D83" s="97" t="s">
        <v>429</v>
      </c>
      <c r="E83" s="97" t="s">
        <v>430</v>
      </c>
      <c r="F83" s="97" t="s">
        <v>431</v>
      </c>
      <c r="G83" s="99"/>
      <c r="H83" s="100"/>
      <c r="I83" s="101">
        <v>42752</v>
      </c>
      <c r="J83" s="102">
        <v>100</v>
      </c>
    </row>
    <row r="84" spans="1:10" x14ac:dyDescent="0.45">
      <c r="A84" s="96">
        <v>84</v>
      </c>
      <c r="B84" s="98" t="s">
        <v>203</v>
      </c>
      <c r="C84" s="98" t="s">
        <v>252</v>
      </c>
      <c r="D84" s="98" t="s">
        <v>432</v>
      </c>
      <c r="E84" s="98" t="s">
        <v>433</v>
      </c>
      <c r="F84" s="98" t="s">
        <v>434</v>
      </c>
      <c r="G84" s="99"/>
      <c r="H84" s="100"/>
      <c r="I84" s="101">
        <v>42506</v>
      </c>
      <c r="J84" s="102">
        <v>30</v>
      </c>
    </row>
    <row r="85" spans="1:10" x14ac:dyDescent="0.45">
      <c r="A85" s="96">
        <v>85</v>
      </c>
      <c r="B85" s="97" t="s">
        <v>203</v>
      </c>
      <c r="C85" s="98" t="s">
        <v>435</v>
      </c>
      <c r="D85" s="97" t="s">
        <v>86</v>
      </c>
      <c r="E85" s="97" t="s">
        <v>436</v>
      </c>
      <c r="F85" s="97" t="s">
        <v>437</v>
      </c>
      <c r="G85" s="99"/>
      <c r="H85" s="100"/>
      <c r="I85" s="101">
        <v>42646</v>
      </c>
      <c r="J85" s="102">
        <v>65</v>
      </c>
    </row>
    <row r="86" spans="1:10" x14ac:dyDescent="0.45">
      <c r="A86" s="96">
        <v>86</v>
      </c>
      <c r="B86" s="97" t="s">
        <v>200</v>
      </c>
      <c r="C86" s="98" t="s">
        <v>438</v>
      </c>
      <c r="D86" s="97" t="s">
        <v>439</v>
      </c>
      <c r="E86" s="97" t="s">
        <v>260</v>
      </c>
      <c r="F86" s="97" t="s">
        <v>76</v>
      </c>
      <c r="G86" s="99"/>
      <c r="H86" s="100"/>
      <c r="I86" s="101">
        <v>42769</v>
      </c>
      <c r="J86" s="102">
        <v>100</v>
      </c>
    </row>
    <row r="87" spans="1:10" x14ac:dyDescent="0.45">
      <c r="A87" s="96">
        <v>87</v>
      </c>
      <c r="B87" s="97" t="s">
        <v>203</v>
      </c>
      <c r="C87" s="98" t="s">
        <v>440</v>
      </c>
      <c r="D87" s="97" t="s">
        <v>49</v>
      </c>
      <c r="E87" s="97" t="s">
        <v>441</v>
      </c>
      <c r="F87" s="97" t="s">
        <v>306</v>
      </c>
      <c r="G87" s="99"/>
      <c r="H87" s="100"/>
      <c r="I87" s="101">
        <v>42766</v>
      </c>
      <c r="J87" s="102">
        <v>100</v>
      </c>
    </row>
    <row r="88" spans="1:10" x14ac:dyDescent="0.45">
      <c r="A88" s="96">
        <v>88</v>
      </c>
      <c r="B88" s="97" t="s">
        <v>203</v>
      </c>
      <c r="C88" s="98" t="s">
        <v>289</v>
      </c>
      <c r="D88" s="97" t="s">
        <v>52</v>
      </c>
      <c r="E88" s="97" t="s">
        <v>396</v>
      </c>
      <c r="F88" s="97" t="s">
        <v>53</v>
      </c>
      <c r="G88" s="99"/>
      <c r="H88" s="100"/>
      <c r="I88" s="101">
        <v>42751</v>
      </c>
      <c r="J88" s="102">
        <v>100</v>
      </c>
    </row>
    <row r="89" spans="1:10" x14ac:dyDescent="0.45">
      <c r="A89" s="96">
        <v>89</v>
      </c>
      <c r="B89" s="97" t="s">
        <v>222</v>
      </c>
      <c r="C89" s="98" t="s">
        <v>275</v>
      </c>
      <c r="D89" s="97" t="s">
        <v>442</v>
      </c>
      <c r="E89" s="97" t="s">
        <v>396</v>
      </c>
      <c r="F89" s="97" t="s">
        <v>68</v>
      </c>
      <c r="G89" s="99"/>
      <c r="H89" s="100"/>
      <c r="I89" s="101">
        <v>42758</v>
      </c>
      <c r="J89" s="102">
        <v>35</v>
      </c>
    </row>
    <row r="90" spans="1:10" x14ac:dyDescent="0.45">
      <c r="A90" s="96">
        <v>90</v>
      </c>
      <c r="B90" s="97" t="s">
        <v>200</v>
      </c>
      <c r="C90" s="98" t="s">
        <v>443</v>
      </c>
      <c r="D90" s="97" t="s">
        <v>71</v>
      </c>
      <c r="E90" s="97" t="s">
        <v>444</v>
      </c>
      <c r="F90" s="97" t="s">
        <v>72</v>
      </c>
      <c r="G90" s="99"/>
      <c r="H90" s="100"/>
      <c r="I90" s="101">
        <v>42751</v>
      </c>
      <c r="J90" s="102">
        <v>100</v>
      </c>
    </row>
    <row r="91" spans="1:10" x14ac:dyDescent="0.45">
      <c r="A91" s="96">
        <v>91</v>
      </c>
      <c r="B91" s="98" t="s">
        <v>203</v>
      </c>
      <c r="C91" s="98" t="s">
        <v>252</v>
      </c>
      <c r="D91" s="98" t="s">
        <v>13</v>
      </c>
      <c r="E91" s="98" t="s">
        <v>14</v>
      </c>
      <c r="F91" s="98" t="s">
        <v>15</v>
      </c>
      <c r="G91" s="99"/>
      <c r="H91" s="100"/>
      <c r="I91" s="101">
        <v>42761</v>
      </c>
      <c r="J91" s="102">
        <v>100</v>
      </c>
    </row>
    <row r="92" spans="1:10" x14ac:dyDescent="0.45">
      <c r="A92" s="96">
        <v>92</v>
      </c>
      <c r="B92" s="97" t="s">
        <v>200</v>
      </c>
      <c r="C92" s="98" t="s">
        <v>445</v>
      </c>
      <c r="D92" s="97" t="s">
        <v>446</v>
      </c>
      <c r="E92" s="97" t="s">
        <v>372</v>
      </c>
      <c r="F92" s="97" t="s">
        <v>447</v>
      </c>
      <c r="G92" s="99"/>
      <c r="H92" s="100"/>
      <c r="I92" s="101">
        <v>42800</v>
      </c>
      <c r="J92" s="102">
        <v>100</v>
      </c>
    </row>
    <row r="93" spans="1:10" x14ac:dyDescent="0.45">
      <c r="A93" s="96">
        <v>93</v>
      </c>
      <c r="B93" s="97" t="s">
        <v>200</v>
      </c>
      <c r="C93" s="98" t="s">
        <v>448</v>
      </c>
      <c r="D93" s="97" t="s">
        <v>449</v>
      </c>
      <c r="E93" s="97" t="s">
        <v>450</v>
      </c>
      <c r="F93" s="97" t="s">
        <v>234</v>
      </c>
      <c r="G93" s="99"/>
      <c r="H93" s="100"/>
      <c r="I93" s="101">
        <v>42758</v>
      </c>
      <c r="J93" s="102">
        <v>135</v>
      </c>
    </row>
    <row r="94" spans="1:10" x14ac:dyDescent="0.45">
      <c r="A94" s="96">
        <v>94</v>
      </c>
      <c r="B94" s="97" t="s">
        <v>200</v>
      </c>
      <c r="C94" s="98" t="s">
        <v>296</v>
      </c>
      <c r="D94" s="97" t="s">
        <v>60</v>
      </c>
      <c r="E94" s="97" t="s">
        <v>295</v>
      </c>
      <c r="F94" s="97" t="s">
        <v>61</v>
      </c>
      <c r="G94" s="99"/>
      <c r="H94" s="100"/>
      <c r="I94" s="101">
        <v>42780</v>
      </c>
      <c r="J94" s="102">
        <v>100</v>
      </c>
    </row>
    <row r="95" spans="1:10" x14ac:dyDescent="0.45">
      <c r="A95" s="96">
        <v>95</v>
      </c>
      <c r="B95" s="97" t="s">
        <v>200</v>
      </c>
      <c r="C95" s="98" t="s">
        <v>451</v>
      </c>
      <c r="D95" s="97" t="s">
        <v>27</v>
      </c>
      <c r="E95" s="97" t="s">
        <v>452</v>
      </c>
      <c r="F95" s="97" t="s">
        <v>453</v>
      </c>
      <c r="G95" s="99"/>
      <c r="H95" s="100"/>
      <c r="I95" s="101">
        <v>42751</v>
      </c>
      <c r="J95" s="102">
        <v>100</v>
      </c>
    </row>
    <row r="96" spans="1:10" x14ac:dyDescent="0.45">
      <c r="A96" s="96">
        <v>96</v>
      </c>
      <c r="B96" s="97" t="s">
        <v>208</v>
      </c>
      <c r="C96" s="98" t="s">
        <v>204</v>
      </c>
      <c r="D96" s="97" t="s">
        <v>454</v>
      </c>
      <c r="E96" s="97" t="s">
        <v>406</v>
      </c>
      <c r="F96" s="97" t="s">
        <v>114</v>
      </c>
      <c r="G96" s="99"/>
      <c r="H96" s="100"/>
      <c r="I96" s="101">
        <v>42761</v>
      </c>
      <c r="J96" s="102">
        <v>100</v>
      </c>
    </row>
    <row r="97" spans="1:14" x14ac:dyDescent="0.45">
      <c r="A97" s="96">
        <v>97</v>
      </c>
      <c r="B97" s="97" t="s">
        <v>200</v>
      </c>
      <c r="C97" s="98" t="s">
        <v>296</v>
      </c>
      <c r="D97" s="97" t="s">
        <v>38</v>
      </c>
      <c r="E97" s="97" t="s">
        <v>455</v>
      </c>
      <c r="F97" s="97" t="s">
        <v>456</v>
      </c>
      <c r="G97" s="99"/>
      <c r="H97" s="100"/>
      <c r="I97" s="101">
        <v>42751</v>
      </c>
      <c r="J97" s="102">
        <v>100</v>
      </c>
    </row>
    <row r="98" spans="1:14" x14ac:dyDescent="0.45">
      <c r="A98" s="96">
        <v>98</v>
      </c>
      <c r="B98" s="97" t="s">
        <v>203</v>
      </c>
      <c r="C98" s="98" t="s">
        <v>201</v>
      </c>
      <c r="D98" s="97" t="s">
        <v>457</v>
      </c>
      <c r="E98" s="97" t="s">
        <v>458</v>
      </c>
      <c r="F98" s="97" t="s">
        <v>459</v>
      </c>
      <c r="G98" s="99"/>
      <c r="H98" s="100"/>
      <c r="I98" s="101">
        <v>42765</v>
      </c>
      <c r="J98" s="102">
        <v>100</v>
      </c>
    </row>
    <row r="99" spans="1:14" x14ac:dyDescent="0.45">
      <c r="A99" s="96">
        <v>99</v>
      </c>
      <c r="B99" s="98" t="s">
        <v>203</v>
      </c>
      <c r="C99" s="98" t="s">
        <v>335</v>
      </c>
      <c r="D99" s="98" t="s">
        <v>42</v>
      </c>
      <c r="E99" s="98" t="s">
        <v>460</v>
      </c>
      <c r="F99" s="98" t="s">
        <v>43</v>
      </c>
      <c r="G99" s="99"/>
      <c r="H99" s="100"/>
      <c r="I99" s="101">
        <v>42752</v>
      </c>
      <c r="J99" s="102">
        <v>130</v>
      </c>
    </row>
    <row r="100" spans="1:14" x14ac:dyDescent="0.45">
      <c r="A100" s="96">
        <v>100</v>
      </c>
      <c r="B100" s="108" t="s">
        <v>222</v>
      </c>
      <c r="C100" s="109" t="s">
        <v>498</v>
      </c>
      <c r="D100" s="108" t="s">
        <v>507</v>
      </c>
      <c r="E100" s="108" t="s">
        <v>508</v>
      </c>
      <c r="F100" s="108" t="s">
        <v>501</v>
      </c>
      <c r="I100" s="123">
        <v>42793</v>
      </c>
      <c r="J100" s="112">
        <v>65</v>
      </c>
    </row>
    <row r="101" spans="1:14" x14ac:dyDescent="0.45">
      <c r="A101" s="96">
        <v>103</v>
      </c>
      <c r="B101" s="97"/>
      <c r="C101" s="98"/>
      <c r="D101" s="97"/>
      <c r="E101" s="97"/>
      <c r="F101" s="97"/>
      <c r="G101" s="99"/>
      <c r="H101" s="100"/>
      <c r="I101" s="101"/>
      <c r="J101" s="102">
        <v>1275</v>
      </c>
      <c r="L101" t="s">
        <v>464</v>
      </c>
      <c r="N101">
        <v>70</v>
      </c>
    </row>
    <row r="102" spans="1:14" x14ac:dyDescent="0.45">
      <c r="B102" s="7"/>
      <c r="C102" s="7"/>
      <c r="D102" s="7"/>
      <c r="E102" s="113"/>
      <c r="F102" s="7"/>
      <c r="G102" s="7"/>
      <c r="H102" s="7"/>
      <c r="I102" s="114"/>
      <c r="J102" s="7"/>
      <c r="L102">
        <f>J104/100*25</f>
        <v>2840.75</v>
      </c>
      <c r="N102">
        <v>95</v>
      </c>
    </row>
    <row r="103" spans="1:14" x14ac:dyDescent="0.45">
      <c r="B103" s="7"/>
      <c r="C103" s="7"/>
      <c r="D103" s="7"/>
      <c r="E103" s="113"/>
      <c r="F103" s="7"/>
      <c r="G103" s="7"/>
      <c r="H103" s="7"/>
      <c r="I103" s="114"/>
      <c r="J103" s="7"/>
    </row>
    <row r="104" spans="1:14" x14ac:dyDescent="0.45">
      <c r="E104" s="115"/>
      <c r="I104" s="116"/>
      <c r="J104" s="117">
        <f>SUM(J1:J103)</f>
        <v>11363</v>
      </c>
      <c r="L104">
        <v>1275</v>
      </c>
      <c r="N104">
        <v>100</v>
      </c>
    </row>
    <row r="105" spans="1:14" x14ac:dyDescent="0.45">
      <c r="C105" s="118" t="s">
        <v>465</v>
      </c>
      <c r="E105" s="115"/>
      <c r="I105" s="116"/>
      <c r="N105">
        <v>65</v>
      </c>
    </row>
    <row r="106" spans="1:14" x14ac:dyDescent="0.45">
      <c r="C106" t="s">
        <v>535</v>
      </c>
      <c r="E106" s="115"/>
      <c r="I106" s="116"/>
      <c r="J106" t="s">
        <v>466</v>
      </c>
      <c r="L106">
        <f>11473-11328</f>
        <v>145</v>
      </c>
      <c r="N106">
        <v>100</v>
      </c>
    </row>
    <row r="107" spans="1:14" x14ac:dyDescent="0.45">
      <c r="E107" s="115"/>
      <c r="I107" s="116"/>
      <c r="N107">
        <v>20</v>
      </c>
    </row>
    <row r="108" spans="1:14" x14ac:dyDescent="0.45">
      <c r="C108" s="138" t="s">
        <v>538</v>
      </c>
      <c r="D108" s="139">
        <v>2891.85</v>
      </c>
      <c r="E108" s="115"/>
      <c r="I108" s="116"/>
      <c r="N108">
        <v>70</v>
      </c>
    </row>
    <row r="109" spans="1:14" x14ac:dyDescent="0.45">
      <c r="G109" s="9"/>
      <c r="N109">
        <v>70</v>
      </c>
    </row>
    <row r="110" spans="1:14" x14ac:dyDescent="0.45">
      <c r="N110">
        <v>100</v>
      </c>
    </row>
    <row r="111" spans="1:14" x14ac:dyDescent="0.45">
      <c r="N111">
        <v>100</v>
      </c>
    </row>
    <row r="112" spans="1:14" x14ac:dyDescent="0.45">
      <c r="E112" t="s">
        <v>577</v>
      </c>
      <c r="F112" s="145">
        <f>D108+2992.61</f>
        <v>5884.46</v>
      </c>
      <c r="N112">
        <v>65</v>
      </c>
    </row>
    <row r="113" spans="14:14" x14ac:dyDescent="0.45">
      <c r="N113">
        <v>70</v>
      </c>
    </row>
    <row r="114" spans="14:14" x14ac:dyDescent="0.45">
      <c r="N114">
        <v>20</v>
      </c>
    </row>
    <row r="115" spans="14:14" x14ac:dyDescent="0.45">
      <c r="N115">
        <v>20</v>
      </c>
    </row>
    <row r="116" spans="14:14" x14ac:dyDescent="0.45">
      <c r="N116">
        <v>100</v>
      </c>
    </row>
    <row r="117" spans="14:14" x14ac:dyDescent="0.45">
      <c r="N117">
        <v>20</v>
      </c>
    </row>
    <row r="118" spans="14:14" x14ac:dyDescent="0.45">
      <c r="N118">
        <v>70</v>
      </c>
    </row>
    <row r="119" spans="14:14" x14ac:dyDescent="0.45">
      <c r="N119">
        <v>55</v>
      </c>
    </row>
    <row r="120" spans="14:14" x14ac:dyDescent="0.45">
      <c r="N120">
        <v>65</v>
      </c>
    </row>
    <row r="122" spans="14:14" x14ac:dyDescent="0.45">
      <c r="N122">
        <f>SUM(N101:N121)</f>
        <v>1275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DB8375AB-DD7A-44A2-8EF0-7F609C4D42C6}"/>
</file>

<file path=customXml/itemProps2.xml><?xml version="1.0" encoding="utf-8"?>
<ds:datastoreItem xmlns:ds="http://schemas.openxmlformats.org/officeDocument/2006/customXml" ds:itemID="{6A1561F3-E962-4999-B4D4-02D5FFB59C1E}"/>
</file>

<file path=customXml/itemProps3.xml><?xml version="1.0" encoding="utf-8"?>
<ds:datastoreItem xmlns:ds="http://schemas.openxmlformats.org/officeDocument/2006/customXml" ds:itemID="{7711C64F-858F-4BCB-9707-9B12E8AD7D57}"/>
</file>

<file path=docMetadata/LabelInfo.xml><?xml version="1.0" encoding="utf-8"?>
<clbl:labelList xmlns:clbl="http://schemas.microsoft.com/office/2020/mipLabelMetadata">
  <clbl:label id="{d6fa6db5-9f3a-4c93-9e38-61059ee07e95}" enabled="1" method="Standard" siteId="{4e8d09f7-cc79-4ccb-9149-a4238dd17422}"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GIFT AID 16  21-22</vt:lpstr>
      <vt:lpstr>Cover</vt:lpstr>
      <vt:lpstr>TAR</vt:lpstr>
      <vt:lpstr>IER</vt:lpstr>
      <vt:lpstr>P &amp; L</vt:lpstr>
      <vt:lpstr>SoB</vt:lpstr>
      <vt:lpstr>2024-2025</vt:lpstr>
      <vt:lpstr>Gift Aid 16 300322</vt:lpstr>
      <vt:lpstr>Gift Aid Form 11 - 300317</vt:lpstr>
      <vt:lpstr>Gift Aid Form 12 300318</vt:lpstr>
      <vt:lpstr>Gift Aid Form 13 300319</vt:lpstr>
      <vt:lpstr>Gift Aid Form 14 300320</vt:lpstr>
      <vt:lpstr>Gift Aid 15 300321</vt:lpstr>
      <vt:lpstr>Cover!Print_Area</vt:lpstr>
      <vt:lpstr>IER!Print_Area</vt:lpstr>
      <vt:lpstr>'P &amp; L'!Print_Area</vt:lpstr>
      <vt:lpstr>SoB!Print_Area</vt:lpstr>
      <vt:lpstr>TAR!Print_Area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gemma.toon@yahoo.co.uk</dc:creator>
  <cp:lastModifiedBy>Reed Ozretich</cp:lastModifiedBy>
  <cp:lastPrinted>2025-06-10T16:12:53Z</cp:lastPrinted>
  <dcterms:created xsi:type="dcterms:W3CDTF">2020-10-25T14:09:18Z</dcterms:created>
  <dcterms:modified xsi:type="dcterms:W3CDTF">2026-04-17T10:38:45Z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