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eo\OneDrive\Desktop\Scotbus\"/>
    </mc:Choice>
  </mc:AlternateContent>
  <xr:revisionPtr revIDLastSave="0" documentId="8_{BD107C33-2CAB-4B58-B279-AB0247A36033}" xr6:coauthVersionLast="47" xr6:coauthVersionMax="47" xr10:uidLastSave="{00000000-0000-0000-0000-000000000000}"/>
  <bookViews>
    <workbookView xWindow="-120" yWindow="-120" windowWidth="29040" windowHeight="15720" xr2:uid="{F1665B9E-1370-4267-969F-F3AE555004A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B6" i="1"/>
  <c r="C6" i="1"/>
  <c r="D6" i="1"/>
  <c r="E6" i="1"/>
  <c r="F6" i="1"/>
  <c r="G6" i="1"/>
  <c r="H6" i="1"/>
  <c r="I6" i="1"/>
  <c r="J6" i="1"/>
  <c r="K6" i="1"/>
  <c r="L6" i="1"/>
  <c r="M6" i="1"/>
  <c r="B7" i="1"/>
  <c r="C7" i="1"/>
  <c r="D7" i="1"/>
  <c r="E7" i="1"/>
  <c r="F7" i="1"/>
  <c r="G7" i="1"/>
  <c r="H7" i="1"/>
  <c r="I7" i="1"/>
  <c r="J7" i="1"/>
  <c r="K7" i="1"/>
  <c r="L7" i="1"/>
  <c r="M7" i="1"/>
  <c r="B8" i="1"/>
  <c r="D8" i="1"/>
  <c r="G8" i="1"/>
  <c r="H8" i="1"/>
  <c r="I8" i="1"/>
  <c r="J8" i="1"/>
  <c r="K8" i="1"/>
  <c r="L8" i="1"/>
  <c r="M8" i="1"/>
  <c r="F9" i="1"/>
  <c r="G9" i="1"/>
  <c r="H9" i="1"/>
  <c r="I9" i="1"/>
  <c r="N9" i="1" s="1"/>
  <c r="L9" i="1"/>
  <c r="M10" i="1"/>
  <c r="N10" i="1" s="1"/>
  <c r="M11" i="1"/>
  <c r="N11" i="1"/>
  <c r="N12" i="1"/>
  <c r="N13" i="1"/>
  <c r="N14" i="1"/>
  <c r="N15" i="1"/>
  <c r="I16" i="1"/>
  <c r="J16" i="1"/>
  <c r="K16" i="1"/>
  <c r="L16" i="1"/>
  <c r="N16" i="1"/>
  <c r="G17" i="1"/>
  <c r="I17" i="1"/>
  <c r="B18" i="1"/>
  <c r="C18" i="1"/>
  <c r="D18" i="1"/>
  <c r="E18" i="1"/>
  <c r="F18" i="1"/>
  <c r="L18" i="1"/>
  <c r="M18" i="1"/>
  <c r="N22" i="1"/>
  <c r="B23" i="1"/>
  <c r="C23" i="1"/>
  <c r="C30" i="1" s="1"/>
  <c r="D23" i="1"/>
  <c r="E23" i="1"/>
  <c r="F23" i="1"/>
  <c r="H23" i="1"/>
  <c r="I23" i="1"/>
  <c r="J23" i="1"/>
  <c r="K23" i="1"/>
  <c r="L23" i="1"/>
  <c r="N24" i="1"/>
  <c r="E25" i="1"/>
  <c r="G25" i="1"/>
  <c r="H25" i="1"/>
  <c r="I25" i="1"/>
  <c r="I30" i="1" s="1"/>
  <c r="J25" i="1"/>
  <c r="K25" i="1"/>
  <c r="L25" i="1"/>
  <c r="M25" i="1"/>
  <c r="N26" i="1"/>
  <c r="L27" i="1"/>
  <c r="M27" i="1"/>
  <c r="B30" i="1"/>
  <c r="D30" i="1"/>
  <c r="F30" i="1"/>
  <c r="G30" i="1"/>
  <c r="H30" i="1"/>
  <c r="J30" i="1"/>
  <c r="K30" i="1"/>
  <c r="L30" i="1"/>
  <c r="M30" i="1"/>
  <c r="B31" i="1"/>
  <c r="D31" i="1"/>
  <c r="F31" i="1"/>
  <c r="B32" i="1" l="1"/>
  <c r="C4" i="1" s="1"/>
  <c r="C32" i="1" s="1"/>
  <c r="D4" i="1" s="1"/>
  <c r="D32" i="1" s="1"/>
  <c r="E4" i="1" s="1"/>
  <c r="B34" i="1"/>
  <c r="C31" i="1"/>
  <c r="N7" i="1"/>
  <c r="H18" i="1"/>
  <c r="H31" i="1" s="1"/>
  <c r="I18" i="1"/>
  <c r="I31" i="1" s="1"/>
  <c r="J18" i="1"/>
  <c r="J31" i="1" s="1"/>
  <c r="K18" i="1"/>
  <c r="K31" i="1" s="1"/>
  <c r="N6" i="1"/>
  <c r="N8" i="1"/>
  <c r="N23" i="1"/>
  <c r="G18" i="1"/>
  <c r="N17" i="1"/>
  <c r="N25" i="1"/>
  <c r="E30" i="1"/>
  <c r="L31" i="1"/>
  <c r="M31" i="1"/>
  <c r="G31" i="1" l="1"/>
  <c r="N31" i="1" s="1"/>
  <c r="N18" i="1"/>
  <c r="B36" i="1" s="1"/>
  <c r="E32" i="1"/>
  <c r="F4" i="1" s="1"/>
  <c r="F32" i="1" s="1"/>
  <c r="G4" i="1" s="1"/>
  <c r="G32" i="1" s="1"/>
  <c r="H4" i="1" s="1"/>
  <c r="H32" i="1" s="1"/>
  <c r="I4" i="1" s="1"/>
  <c r="I32" i="1" s="1"/>
  <c r="J4" i="1" s="1"/>
  <c r="J32" i="1" s="1"/>
  <c r="K4" i="1" s="1"/>
  <c r="K32" i="1" s="1"/>
  <c r="L4" i="1" s="1"/>
  <c r="L32" i="1" s="1"/>
  <c r="M4" i="1" s="1"/>
  <c r="M32" i="1" s="1"/>
  <c r="B40" i="1" s="1"/>
  <c r="E31" i="1"/>
  <c r="N30" i="1"/>
  <c r="B38" i="1" s="1"/>
  <c r="B41" i="1" l="1"/>
</calcChain>
</file>

<file path=xl/sharedStrings.xml><?xml version="1.0" encoding="utf-8"?>
<sst xmlns="http://schemas.openxmlformats.org/spreadsheetml/2006/main" count="48" uniqueCount="46">
  <si>
    <t>Signed:</t>
  </si>
  <si>
    <t>NET PROFIT/LOSS</t>
  </si>
  <si>
    <t>Closing Balance</t>
  </si>
  <si>
    <t>Less: Total Expenses</t>
  </si>
  <si>
    <t>Add: Total Income</t>
  </si>
  <si>
    <t>Signed: Owen Fordyce</t>
  </si>
  <si>
    <t>Opening Balance</t>
  </si>
  <si>
    <t>Profit/Loss for the month</t>
  </si>
  <si>
    <t>Total Expenses</t>
  </si>
  <si>
    <t>J McDonald</t>
  </si>
  <si>
    <t>Peter Grice</t>
  </si>
  <si>
    <t>Accounts Fee</t>
  </si>
  <si>
    <t>Ryan MacLeod</t>
  </si>
  <si>
    <t>Mike Assiph (Leopard)</t>
  </si>
  <si>
    <t>Ballindarg</t>
  </si>
  <si>
    <t>Moncrieff</t>
  </si>
  <si>
    <t>Less: Expenses</t>
  </si>
  <si>
    <t>Total Ingoings</t>
  </si>
  <si>
    <t>Donations</t>
  </si>
  <si>
    <t>TIL2360 At Ballindarg</t>
  </si>
  <si>
    <t>Jordan Leyland</t>
  </si>
  <si>
    <t>Iain Wilkie</t>
  </si>
  <si>
    <t>G &amp; J Harwood</t>
  </si>
  <si>
    <t>Pacific Equity LTD</t>
  </si>
  <si>
    <t>Ballindarg Refund</t>
  </si>
  <si>
    <t>Electricity Payments</t>
  </si>
  <si>
    <t>Memberships (£25)</t>
  </si>
  <si>
    <t>Storage - 2 Cars (£100)</t>
  </si>
  <si>
    <t>Storage - Cars (£50)</t>
  </si>
  <si>
    <t>Storage - Buses (£85)</t>
  </si>
  <si>
    <t>Totals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</si>
  <si>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</si>
  <si>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</si>
  <si>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</si>
  <si>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</si>
  <si>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</si>
  <si>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</si>
  <si>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</si>
  <si>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</si>
  <si>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</si>
  <si>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</si>
  <si>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</si>
  <si>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</si>
  <si>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Scotbus Annual Return Accounts for Financial Year 2025-2026</t>
  </si>
  <si>
    <t>Months</t>
  </si>
  <si>
    <t>Add :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</si>
</sst>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\(&quot;£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164" fontId="0" fillId="2" borderId="1" xfId="0" applyNumberForma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NULL"/><Relationship Id="rId1" Type="http://schemas.openxmlformats.org/officeDocument/2006/relationships/customXml" Target="../ink/ink1.xml"/><Relationship Id="rId4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367840</xdr:colOff>
      <xdr:row>38</xdr:row>
      <xdr:rowOff>114100</xdr:rowOff>
    </xdr:from>
    <xdr:ext cx="51480" cy="41950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58281933-5312-4D5B-AB69-A37346D79002}"/>
                </a:ext>
              </a:extLst>
            </xdr14:cNvPr>
            <xdr14:cNvContentPartPr/>
          </xdr14:nvContentPartPr>
          <xdr14:nvPr macro=""/>
          <xdr14:xfrm>
            <a:off x="4127040" y="6381550"/>
            <a:ext cx="51480" cy="40680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8B4FAAF2-AA12-D75B-40E0-1778D0509BF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120920" y="6375430"/>
              <a:ext cx="63720" cy="41904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132040</xdr:colOff>
      <xdr:row>37</xdr:row>
      <xdr:rowOff>56690</xdr:rowOff>
    </xdr:from>
    <xdr:ext cx="1792305" cy="85009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3BFD18C3-1FAF-47ED-AA17-6A684D0A4487}"/>
                </a:ext>
              </a:extLst>
            </xdr14:cNvPr>
            <xdr14:cNvContentPartPr/>
          </xdr14:nvContentPartPr>
          <xdr14:nvPr macro=""/>
          <xdr14:xfrm>
            <a:off x="3891240" y="6139990"/>
            <a:ext cx="1820880" cy="821520"/>
          </xdr14:xfrm>
        </xdr:contentPart>
      </mc:Choice>
      <mc:Fallback xmlns="">
        <xdr:pic>
          <xdr:nvPicPr>
            <xdr:cNvPr id="15" name="Ink 14">
              <a:extLst>
                <a:ext uri="{FF2B5EF4-FFF2-40B4-BE49-F238E27FC236}">
                  <a16:creationId xmlns:a16="http://schemas.microsoft.com/office/drawing/2014/main" id="{5A70A96E-838B-857D-3C7A-5AD98ED67F89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885120" y="6133870"/>
              <a:ext cx="1833120" cy="8337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leo\Downloads\Scotbus%20Accounts%2025-26%20(1).xlsx" TargetMode="External"/><Relationship Id="rId1" Type="http://schemas.openxmlformats.org/officeDocument/2006/relationships/externalLinkPath" Target="file:///C:\Users\maleo\Downloads\Scotbus%20Accounts%2025-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3-24"/>
      <sheetName val="24-25 "/>
      <sheetName val="25-26"/>
    </sheetNames>
    <sheetDataSet>
      <sheetData sheetId="0"/>
      <sheetData sheetId="1">
        <row r="27">
          <cell r="M27">
            <v>3512.87</v>
          </cell>
        </row>
      </sheetData>
      <sheetData sheetId="2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9T18:56:19.40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23706,'141'1130'0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9T18:56:19.40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593 806 24575,'593'0'0,"-569"-2"0,-1-1 0,1-1 0,-2-1 0,31-9 0,-31 6 0,1 2 0,0 1 0,0 1 0,35-2 0,-41 7-1365,-2-1-5461</inkml:trace>
  <inkml:trace contextRef="#ctx0" brushRef="#br0" timeOffset="1">716 1207 24575,'316'0'-1365,"-304"0"-5461</inkml:trace>
  <inkml:trace contextRef="#ctx0" brushRef="#br0" timeOffset="2">385 1061 24575,'1'-74'0,"-1"-51"0,-17-149 0,8 223 0,6 36 0,0-2 0,1 2 0,-1-18 0,3 25 0,0 0 0,1 0 0,0 1 0,0-2 0,0 2 0,1-1 0,3-9 0,-3 13 0,0 0 0,0 1 0,0-1 0,1 1 0,-1-1 0,1 0 0,-1 1 0,1 0 0,0 1 0,1-1 0,-1 0 0,0 1 0,1 0 0,-1 0 0,4-3 0,15-4 0,1 0 0,-1 2 0,46-9 0,-10 3 0,-54 10 0,261-72 0,-230 66 0,1 0 0,50-3 0,-10 2 0,-36 2 0,-2 3 0,1 2 0,0 2 0,45 4 0,-77-2 0,-1 1 0,0-1 0,0 1 0,0 0 0,-1 1 0,1 0 0,0 0 0,-1 0 0,-1 1 0,11 7 0,2 6 0,24 27 0,-28-29 0,12 16 0,-2 1 0,0 1 0,-2 1 0,20 45 0,-5 1 0,38 68 0,-64-128 0,-1-2 0,-1 3 0,-1-1 0,0 0 0,4 31 0,3 7 0,-8-30 0,-1 1 0,-2-1 0,0 1 0,-2 0 0,-3 36 0,0-5 0,0-29 0,-1 0 0,-13 53 0,4-24 0,10-46 0,-2 0 0,-1 0 0,0-1 0,-13 24 0,12-26 0,1 0 0,-1 1 0,2-1 0,0 1 0,0 1 0,-3 22 0,5 52 0,2-65 0,0-2 0,-1 1 0,-1 0 0,0 0 0,-11 39 0,-20 17 0,18-36 0,10-32 0,1-1 0,1 2 0,-4 11 0,4-7 0,-1 0 0,0 0 0,0-1 0,-13 26 0,16-35 0,-2-1 0,1 1 0,0-1 0,-1 0 0,0 0 0,0 0 0,0 0 0,0 1 0,0-1 0,-1-1 0,1 0 0,-1 0 0,1 0 0,-1 0 0,0 0 0,0-1 0,0 1 0,0-1 0,1 0 0,-7 0 0,-5 0 0,1-1 0,-1 0 0,2-1 0,-1-1 0,-1 0 0,1-1 0,0-1 0,1 0 0,0-1 0,-1-2 0,1 1 0,1 0 0,-1-1 0,1-2 0,-20-15 0,29 21 0,-2 0 0,1 2 0,0-1 0,0 0 0,-1 1 0,1 0 0,-1 0 0,1 0 0,-1 1 0,-7-1 0,-19-3 0,15 0 0,-1 1 0,2 1 0,-1-1 0,-26 3 0,-66 10 0,-18 0 0,94-10 0,-3 0 0,-43-5 0,66 3 0,-1 0 0,1-1 0,-1-1 0,2-1 0,-1 1 0,1-1 0,-14-8 0,8-1 0,-1 0 0,0-1 0,2-1 0,1-1 0,-1-1 0,-20-32 0,32 46 0,-11-16 0,0-1 0,-23-45 0,25 39 0,-1 1 0,-1 0 0,0 1 0,-3 2 0,0-1 0,-32-32 0,36 43 0,0 0 0,2-2 0,0 1 0,0-1 0,0-1 0,2 0 0,-9-19 0,-92-234 0,107 254 0,-2 3 0,2 0 0,0-2 0,0 1 0,1-1 0,1 1 0,0-2 0,0-21 0,2 32 0,1 0 0,-1 1 0,0-2 0,1 1 0,0 0 0,0 0 0,0 1 0,0-1 0,1 0 0,-1 1 0,1-2 0,0 2 0,0 0 0,1-1 0,-1 1 0,0 0 0,1 0 0,0 1 0,0-1 0,-1 0 0,1 0 0,0 1 0,0 0 0,1 0 0,-1 0 0,1 0 0,-1 1 0,1 0 0,-1-1 0,5 0 0,14-4 0,-2-2 0,0 0 0,1-1 0,31-21 0,-31 18 0,17-10 0,23-16 0,-59 37 0,6-4 0,-2 0 0,1-1 0,0 0 0,6-7 0,-11 10 0,0 0 0,0 0 0,0 0 0,0-1 0,-1 0 0,1 1 0,-1 0 0,0-1 0,0 1 0,0-1 0,-1 1 0,1-2 0,0-3 0,-1-3 0,0-2 0,-1 2 0,0-1 0,-1 0 0,0 1 0,-1-2 0,0 2 0,-8-20 0,1-4 0,8 27 0,0 1 0,0 0 0,0 0 0,-1-1 0,1 1 0,-1 1 0,0-1 0,-1 1 0,0-1 0,-5-5 0,8 11 0,0 1 0,0-1 0,1 0 0,-1 0 0,0 1 0,1-1 0,-1 0 0,1 0 0,-1 0 0,1 0 0,-1 0 0,1 1 0,0-2 0,-1 1 0,1 0 0,0 0 0,0 0 0,-1 0 0,1 0 0,0 0 0,0 0 0,0 0 0,0 0 0,1 0 0,-1 0 0,0 0 0,0 0 0,1 0 0,-1 0 0,0 0 0,1 0 0,0-2 0,2-1 0,1-1 0,-1 0 0,1 1 0,0 0 0,5-3 0,-1-2 0,41-34 0,1 2 0,2 1 0,1 4 0,92-47 0,-58 44 0,-39 19 0,-19 7 0,2 2 0,-1 1 0,1 2 0,0 0 0,1 3 0,0 1 0,0 2 0,58 2 0,-79 1 0,-1 1 0,0 0 0,0 1 0,-1 0 0,1 0 0,-1 2 0,1-1 0,-1 1 0,0 0 0,0 1 0,7 7 0,43 25 0,-43-29 0,0 2 0,23 19 0,-2 5 0,18 18 0,27 11 0,-51-38 0,-2 1 0,27 32 0,17 17 0,15 3 0,-79-72 0,-1 2 0,0-1 0,-1 0 0,1 1 0,10 16 0,24 55 0,-42-79 0,5 11 0,0-1 0,-1 1 0,0 0 0,-1 0 0,-1 1 0,3 23 0,-5 77 0,-2-75 0,4 40 0,-1-73 0,1 0 0,-1 0 0,1 0 0,1 1 0,-1-2 0,1 1 0,-1-1 0,1 1 0,0-1 0,0 1 0,1-1 0,-1 0 0,1-1 0,5 4 0,-3-1 0,0 0 0,-1 0 0,1 1 0,7 12 0,-1 6 0,18 43 0,-26-56 0,-1 0 0,0 0 0,-1 1 0,0-1 0,-1 0 0,1 15 0,-4 467 0,2-485 0,0-2 0,-1 1 0,0 0 0,0 0 0,-1 0 0,0-1 0,0 0 0,-1 2 0,0-2 0,0 0 0,-6 9 0,7-13 0,-1 1 0,1-1 0,-1 0 0,0 0 0,0 0 0,0 1 0,-1-1 0,1-1 0,0 0 0,0 1 0,-1-1 0,0 0 0,0-1 0,1 1 0,-1-1 0,-1 0 0,1 0 0,0 0 0,0 0 0,0-1 0,-8 1 0,-3-3 0,-1 0 0,0 0 0,0-2 0,1 0 0,0-1 0,-1-1 0,1 0 0,2-1 0,-2-1 0,1-1 0,0 1 0,2-1 0,-1-2 0,1 0 0,0 1 0,0-3 0,1 1 0,-14-22 0,23 30 0,-1-2 0,1 1 0,0 0 0,0 0 0,1 0 0,-1 0 0,1-1 0,0 1 0,1-1 0,-1 1 0,1 0 0,0-2 0,1 2 0,-1 0 0,1-1 0,2-10 0,2 0 0,0 0 0,1 0 0,0 0 0,9-15 0,4-10 0,-16 31 0,1 1 0,0 1 0,1-2 0,0 2 0,0 0 0,7-9 0,31-37 0,-27 33 0,0 0 0,2 1 0,22-20 0,-34 34 0,1 0 0,0 1 0,0 0 0,0 1 0,0-1 0,1 2 0,-1-1 0,0 0 0,1 1 0,0 1 0,0-1 0,10 0 0,-7 1 0,0-1 0,0 0 0,12-6 0,-13 5 0,0 0 0,0 1 0,1 1 0,13-2 0,196 2 0,-111 4 0,-76-3 0,-21 0 0,1 0 0,-2 1 0,1 1 0,0 0 0,16 3 0,-26-3 0,-1 0 0,-1-1 0,2 1 0,-1 0 0,0-1 0,1 1 0,-1 0 0,0 0 0,0 0 0,0 0 0,0 0 0,0 0 0,0 1 0,0-1 0,0 0 0,0 1 0,0 0 0,-1-1 0,1 0 0,0 1 0,-1-1 0,0 1 0,1-1 0,-1 3 0,1 4 0,0 1 0,-1-1 0,-1 15 0,1 8 0,12 466 0,-13-391 0,1-160 0,-11-90 0,7 96 0,1 0 0,4-61 0,-2-58 0,0 163 0,0 1 0,0-2 0,0 1 0,0 0 0,-1 1 0,0-1 0,1 1 0,-4-6 0,2 4 0,1 1 0,-1 0 0,1 0 0,1 0 0,-1 0 0,-2-9 0,3 5 0,0 0 0,0-1 0,0 1 0,1 0 0,0-2 0,1 2 0,1-11 0,-1 16 0,-1 0 0,1 1 0,0 0 0,0-1 0,0 1 0,0 0 0,0 0 0,0 0 0,0 0 0,1 0 0,-1 0 0,1 0 0,0-1 0,-1 2 0,1-1 0,-1 0 0,1 1 0,0 0 0,0-1 0,0 1 0,1 0 0,-1 0 0,0 0 0,0 1 0,1-1 0,-1 0 0,1 1 0,2-1 0,27-1 0,60 4 0,-23 0 0,-49-1 0,-2 1 0,23 4 0,-22-2 0,38 2 0,-45-5 0,0-1 0,0 0 0,0-1 0,-1-1 0,1-1 0,0 1 0,-1-1 0,1 0 0,-1-1 0,-1-1 0,1 0 0,0 0 0,15-12 0,-24 15 0,0-1 0,0 1 0,-1-1 0,0-1 0,1 2 0,0-1 0,-1 0 0,0 0 0,0 0 0,0 0 0,0 0 0,0 0 0,-1 0 0,1-1 0,-1 1 0,0-6 0,1-10 0,-5-30 0,3 39 0,0-1 0,-2 0 0,0-1 0,1 1 0,-1-1 0,-10-18 0,-31-49 0,36 64 0,4 9 0,1 0 0,-1 0 0,1-1 0,0 1 0,1 0 0,-1-1 0,-1-8 0,0 2 0,-1-2 0,0 1 0,-1 0 0,-10-17 0,14 29 0,3 5 0,4 15 0,10 20 0,-11-30 0,42 98 0,-41-93 0,-1 1 0,-1 0 0,0 1 0,0-2 0,0 31 0,-3-29 0,1 1 0,1-2 0,0 2 0,1-1 0,1 0 0,0-1 0,11 28 0,-10-29 0,-1 1 0,-1-1 0,0 2 0,0-2 0,1 28 0,-6 74 0,0-44 0,2-47 0,5 37 0,-4-52 0,1 1 0,0-1 0,1 0 0,0 0 0,1 0 0,8 16 0,44 63 0,-44-66 0,-12-20 0,1-1 0,-1 0 0,0 0 0,1 0 0,-1 0 0,0 0 0,0 0 0,1-1 0,-1 1 0,0 0 0,0 0 0,0 0 0,0 0 0,0 0 0,-1 0 0,1 0 0,0 0 0,0 0 0,-1 0 0,1 0 0,0 0 0,-2 1 0,2-2 0,-1 1 0,1-1 0,-1 0 0,1 1 0,-1-1 0,0 0 0,1 0 0,-1 0 0,1 0 0,-1 0 0,0 0 0,1 0 0,-1 0 0,1 0 0,-1 0 0,0 0 0,1 0 0,-1 0 0,1 0 0,-1 0 0,0 0 0,1-1 0,-1 1 0,1 0 0,-1-1 0,1 1 0,-1 0 0,1-1 0,-2 0 0,-17-15 0,15 13 0,-108-88 0,101 85 0,1 0 0,-2 1 0,0 0 0,-14-5 0,-9-2 0,26 9 0,0 0 0,0 0 0,1 1 0,-2 1 0,1-2 0,0 2 0,-1 1 0,1 0 0,-1 0 0,2 1 0,-2 0 0,1 1 0,-17 5 0,24-6 0,-1 1 0,1 0 0,0 0 0,0 0 0,0 0 0,0 0 0,1 1 0,-1-1 0,1 2 0,-1-2 0,1 1 0,0-1 0,0 1 0,-1 0 0,2-1 0,-1 1 0,0 0 0,1 0 0,-1 0 0,1 1 0,0-1 0,0 0 0,0 5 0,0-2 0,1 0 0,-1 2 0,1-2 0,0 0 0,1 0 0,-1 2 0,1-2 0,0 0 0,1-1 0,2 8 0,-3-10 0,0 0 0,1 0 0,0 0 0,-1-1 0,1 1 0,0-1 0,0 0 0,0 0 0,0 1 0,7 2 0,38 10 0,-14-3 0,-19-8 0,1-1 0,1 0 0,-1-1 0,0-1 0,0 0 0,29-3 0,-4 1 0,-37 1 0,-1-1 0,1 0 0,0 0 0,-1 0 0,1 0 0,0 0 0,-1-1 0,1 1 0,0-1 0,-1 0 0,0 0 0,0-2 0,1 2 0,-1-1 0,-1 1 0,1-1 0,0 0 0,-1 0 0,1 0 0,-1 0 0,-1-2 0,1 2 0,0-1 0,-1 1 0,3-5 0,-3 4 0,1 0 0,-1-1 0,0 1 0,0 0 0,0-1 0,-1-4 0,0 7 0,0 4 0,2 19 0,-2-19 0,0 1 0,0-1 0,1 0 0,0 0 0,-1 0 0,1 0 0,0 0 0,0-1 0,0 1 0,0 0 0,0-1 0,0 1 0,0 0 0,1-1 0,-1 0 0,1 1 0,-1-1 0,1 1 0,-1-1 0,1 1 0,0-1 0,-1 0 0,1-1 0,0 1 0,0 0 0,0-1 0,0 1 0,0-1 0,0 1 0,3-1 0,6 2 0,2-1 0,-1-1 0,24-2 0,-13 0 0,-16 2 0,-2 0 0,0 0 0,0 0 0,0 0 0,-1-1 0,1 0 0,6-2 0,-9 2 0,-1 0 0,1 0 0,-1 1 0,1-2 0,-1 0 0,0 1 0,1 0 0,-1 0 0,0 0 0,0-1 0,0 1 0,0 0 0,0-1 0,0 1 0,0-1 0,-1 1 0,1-1 0,0 1 0,-1-1 0,1 0 0,-1 1 0,0-1 0,1-3 0,1-25 0,0-1 0,-5-50 0,0 6 0,3-53 0,-1 217 0,3 99 0,-1-184 0,-1 0 0,1 0 0,1 1 0,-1-1 0,1 0 0,-1 0 0,1-1 0,4 8 0,-5-10 0,0 1 0,0-1 0,0 1 0,0-1 0,0 1 0,-1-1 0,2 0 0,-1 0 0,0 0 0,1 1 0,-1-1 0,1 0 0,0-1 0,-1 1 0,1 0 0,0 0 0,-1-1 0,1 1 0,0-1 0,0 0 0,2 1 0,-3-1 0,0-1 0,0 1 0,0 0 0,0-1 0,0 1 0,0-1 0,0 0 0,0 1 0,0-1 0,-1 0 0,1 1 0,0-1 0,0 0 0,-1 0 0,1 0 0,0 0 0,-1 1 0,1-1 0,-1 0 0,1 0 0,-1 0 0,0 0 0,1-2 0,8-32 0,-7 24 0,3-3 0,0 0 0,1 1 0,0-1 0,1 2 0,1-2 0,0 3 0,1-2 0,0 2 0,0 1 0,14-13 0,0 2 0,-19 18 0,0 1 0,-1-1 0,0 0 0,0 0 0,0 0 0,0 0 0,0-2 0,0 2 0,-1-1 0,1 1 0,-1-1 0,0 0 0,0 0 0,0-1 0,-1 1 0,3-9 0,-43 161 0,32-127 0,0-1 0,-1 1 0,-2-1 0,-11 19 0,9-15 0,-20 48 0,21-44 0,0 0 0,-2-1 0,-1-1 0,-1 0 0,-19 26 0,-2-9 0,18-19 0,-21 29 0,34-44 0,-1 2 0,1-1 0,2-1 0,-2 2 0,2 0 0,-5 20 0,5-21 0,0 0 0,0 0 0,-1 0 0,0 0 0,-1 0 0,0-1 0,0 1 0,-1-2 0,0 1 0,1 0 0,-2-2 0,-12 13 0,15-16 0,-1 0 0,0 0 0,0-1 0,0 0 0,0 1 0,0-2 0,0 2 0,-1-2 0,1 1 0,-1-2 0,0 1 0,0-1 0,0 0 0,0 0 0,0 0 0,0-1 0,1 0 0,-1 0 0,0 0 0,0-1 0,0 0 0,-11-4 0,8 2 0,1-2 0,1 0 0,-1 1 0,1-1 0,0-1 0,-1 1 0,2-2 0,-10-9 0,8 5 0,-1 1 0,1-1 0,1-1 0,-1 0 0,-5-14 0,12 25 0,0 0 0,1-1 0,-1 1 0,1 0 0,0-1 0,-1 1 0,1 0 0,0-1 0,0 1 0,0-1 0,0 0 0,0 1 0,0 0 0,0-1 0,1 1 0,-1-1 0,0 1 0,1 0 0,-1 0 0,1-1 0,0 1 0,-1 0 0,1 0 0,0 0 0,-1-1 0,1 1 0,0 0 0,0 0 0,0 0 0,0 0 0,0 1 0,0-1 0,1 0 0,-1 0 0,0 1 0,0-2 0,0 1 0,2 0 0,7-3 0,1 0 0,-2 1 0,2 0 0,10-1 0,-5 1 0,15-6 0,1 0 0,-1-1 0,50-27 0,61-48 0,-116 67 0,3 2 0,38-17 0,-58 28 0,0-1 0,0 0 0,-1-1 0,1 0 0,-1 0 0,0-1 0,8-12 0,30-26 0,-25 29 0,-5 3 0,1 2 0,28-18 0,-40 28 0,-1 0 0,1 0 0,-1-1 0,0 0 0,0 0 0,0 0 0,0 0 0,0 0 0,-2-1 0,2 1 0,-1-1 0,0 0 0,0-1 0,-1 1 0,1 0 0,-1-1 0,0 1 0,0-1 0,0 0 0,2-8 0,2-16 0,-2-1 0,0 0 0,-1-46 0,-4 61 0,1 9 0,0-2 0,0 2 0,0 0 0,1 0 0,1-10 0,-1 15 0,-1-1 0,1 1 0,-1-1 0,1 1 0,0-1 0,0 1 0,0-1 0,-1 1 0,2 0 0,-1-1 0,0 1 0,0 0 0,0 0 0,-1-1 0,2 1 0,-1 0 0,0 0 0,1 0 0,-1 1 0,1-1 0,-1 0 0,1 1 0,0-1 0,-1 1 0,3-1 0,-3 1 0,1 0 0,0 0 0,-1-1 0,1 1 0,0 0 0,-1-1 0,1 0 0,-1 1 0,1-1 0,-1 0 0,1 0 0,-1 0 0,0 0 0,2-1 0,-2 1 0,-1-1 0,1 1 0,-1 0 0,0 0 0,0-1 0,0 1 0,0-1 0,0 1 0,0-1 0,0 1 0,0 0 0,0 0 0,0-1 0,-1 1 0,1 0 0,-1 0 0,1 0 0,-1 0 0,1-1 0,-2 0 0,-1-5 0,0-1 0,0 0 0,-1 1 0,-1 1 0,1-2 0,-1 2 0,0-1 0,0 2 0,0-1 0,-1-1 0,-11-7 0,16 14 0,0-1 0,0 1 0,0-1 0,0 1 0,0-1 0,0 1 0,0-1 0,0 0 0,1 0 0,-1 1 0,0-1 0,1 0 0,-1 0 0,0-1 0,1 1 0,-1 0 0,1 0 0,-1 0 0,1 0 0,0 0 0,-1 0 0,1 0 0,0 0 0,0 0 0,0-2 0,0 2 0,1 0 0,-1 0 0,1 0 0,0 0 0,0 0 0,-1 0 0,1 0 0,0 0 0,0 0 0,0 0 0,0 1 0,0-1 0,0 0 0,0 1 0,0-1 0,1-1 0,1 1 0,6-2 0,0 0 0,-1 1 0,1 0 0,15-1 0,2 0 0,-2-1 0,1-1 0,31-12 0,-39 14 0,-2 0 0,1 1 0,1 1 0,-1 0 0,21 3 0,-8-2 0,-29 0 0,1 0 0,-1 0 0,0 0 0,1 0 0,-1 0 0,0 0 0,1 0 0,-1 0 0,1 0 0,-1 0 0,0 0 0,1 0 0,-1 0 0,1 0 0,-1 0 0,0 0 0,1 0 0,-1 1 0,0-1 0,1 0 0,-1 0 0,0 0 0,1 1 0,-1-1 0,0 0 0,1 0 0,-1 1 0,0-1 0,0 0 0,1 1 0,-1-1 0,0 0 0,0 1 0,1 0 0,-11 10 0,-28 17 0,30-24 0,-10 10 0,1 0 0,0 2 0,-21 25 0,16-18 0,-19 13 0,31-27 0,0-1 0,1 0 0,-1 2 0,1-1 0,2 0 0,-11 15 0,17-21 0,-1 0 0,1-1 0,0 1 0,0 1 0,0 0 0,0-1 0,1 0 0,-1 0 0,1 0 0,-1 0 0,1 1 0,0-1 0,1 0 0,-1 1 0,0 0 0,1-1 0,0 0 0,0 0 0,0 0 0,0 0 0,0 0 0,1 0 0,-1 1 0,1-2 0,0 1 0,-1 0 0,1-1 0,1 1 0,3 3 0,145 153 0,-147-156 0,0 0 0,0-1 0,1 1 0,-1 0 0,1-1 0,-1 0 0,1 0 0,-1-1 0,1 2 0,0-2 0,0 0 0,0 0 0,5 0 0,11-1 0,39-2 0,-19 0 0,-27 2 0,-5 0 0,-1 0 0,0 0 0,1 0 0,-1-2 0,1 0 0,-1 1 0,1-2 0,-1 1 0,13-7 0,-14 6 0,0 1 0,0 0 0,0 0 0,0-1 0,1 2 0,-2-1 0,13 1 0,28-6 0,-41 5 0,-1 0 0,1 0 0,-1-1 0,0 0 0,0 0 0,0-2 0,0 2 0,-1-1 0,1 0 0,-1 0 0,-1 0 0,1-1 0,0-1 0,4-7 0,5-9 0,-2-1 0,10-29 0,-6 17 0,-10 22 0,0-1 0,-1 0 0,-1 0 0,0-1 0,-1 1 0,1-20 0,-2 2 0,-5-58 0,3 84 0,-1-1 0,1 1 0,-1-1 0,0 1 0,0 0 0,0 0 0,-1 0 0,0 0 0,0 0 0,-1 1 0,1 0 0,-1 0 0,0-1 0,0 1 0,0 1 0,-1 0 0,0 0 0,0 0 0,0-1 0,-7-2 0,7 5 0,1 0 0,0 0 0,-1 0 0,0 0 0,2 1 0,-2 0 0,0 0 0,0 1 0,0-1 0,1 1 0,-1 0 0,0 0 0,0 0 0,0 1 0,0 0 0,1 0 0,-1 0 0,1 0 0,0 1 0,-1 0 0,1 0 0,-1 0 0,1 1 0,0-1 0,0 1 0,-7 7 0,1-1 0,1 2 0,-1 0 0,0 0 0,2 2 0,-12 18 0,16-24 0,0 0 0,1 0 0,0 2 0,1-2 0,0 1 0,0 0 0,0 0 0,1 0 0,0 0 0,0 1 0,1 11 0,1-15 0,0 0 0,0 0 0,1 0 0,-1-1 0,1 1 0,0 0 0,0-1 0,0 0 0,1 1 0,0-2 0,0 1 0,5 7 0,7 4 0,23 19 0,-37-33 0,28 24 0,54 51 0,-71-66 0,1 0 0,-1 0 0,25 14 0,-1-2 0,-27-16 0,0-1 0,1 0 0,0-1 0,17 4 0,14 7 0,-30-11 0,-1-1 0,1-1 0,-2 0 0,2-1 0,0 0 0,-1 0 0,1-1 0,12-2 0,31 3 0,-51-1 0,0 1 0,-1-1 0,1 1 0,0 0 0,-1 0 0,1 0 0,4 4 0,-6-4 0,-15-12 0,-11-9-1365,-5-3-5461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C2FB-0801-483A-B0EB-7C93AD02238F}">
  <dimension ref="A1:N42"/>
  <sheetViews>
    <sheetView tabSelected="1" workbookViewId="0">
      <selection activeCell="S10" sqref="S10"/>
    </sheetView>
  </sheetViews>
  <sheetFormatPr defaultRowHeight="15" x14ac:dyDescent="0.25"/>
  <cols>
    <col min="1" max="1" width="23.28515625" customWidth="1"/>
    <col min="2" max="2" width="10.140625" bestFit="1" customWidth="1"/>
    <col min="7" max="7" width="11" bestFit="1" customWidth="1"/>
    <col min="9" max="10" width="10.42578125" bestFit="1" customWidth="1"/>
    <col min="12" max="12" width="9.85546875" bestFit="1" customWidth="1"/>
    <col min="14" max="14" width="10.140625" bestFit="1" customWidth="1"/>
  </cols>
  <sheetData>
    <row r="1" spans="1:14" x14ac:dyDescent="0.25">
      <c r="A1" s="10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x14ac:dyDescent="0.25">
      <c r="A3" s="6" t="s">
        <v>44</v>
      </c>
      <c r="B3" s="7" t="s">
        <v>42</v>
      </c>
      <c r="C3" s="7" t="s">
        <v>41</v>
      </c>
      <c r="D3" s="7" t="s">
        <v>40</v>
      </c>
      <c r="E3" s="7" t="s">
        <v>39</v>
      </c>
      <c r="F3" s="7" t="s">
        <v>38</v>
      </c>
      <c r="G3" s="7" t="s">
        <v>37</v>
      </c>
      <c r="H3" s="7" t="s">
        <v>36</v>
      </c>
      <c r="I3" s="7" t="s">
        <v>35</v>
      </c>
      <c r="J3" s="7" t="s">
        <v>34</v>
      </c>
      <c r="K3" s="7" t="s">
        <v>33</v>
      </c>
      <c r="L3" s="7" t="s">
        <v>32</v>
      </c>
      <c r="M3" s="7" t="s">
        <v>31</v>
      </c>
      <c r="N3" s="7" t="s">
        <v>30</v>
      </c>
    </row>
    <row r="4" spans="1:14" x14ac:dyDescent="0.25">
      <c r="A4" s="1" t="s">
        <v>6</v>
      </c>
      <c r="B4" s="3">
        <f>'[1]24-25 '!M27</f>
        <v>3512.87</v>
      </c>
      <c r="C4" s="3">
        <f t="shared" ref="C4:M4" si="0">B32</f>
        <v>3231.87</v>
      </c>
      <c r="D4" s="3">
        <f t="shared" si="0"/>
        <v>3191.87</v>
      </c>
      <c r="E4" s="3">
        <f t="shared" si="0"/>
        <v>4301.87</v>
      </c>
      <c r="F4" s="3">
        <f t="shared" si="0"/>
        <v>3383.84</v>
      </c>
      <c r="G4" s="3">
        <f t="shared" si="0"/>
        <v>3183.84</v>
      </c>
      <c r="H4" s="3">
        <f t="shared" si="0"/>
        <v>3307.87</v>
      </c>
      <c r="I4" s="3">
        <f t="shared" si="0"/>
        <v>3576.87</v>
      </c>
      <c r="J4" s="3">
        <f t="shared" si="0"/>
        <v>3565.87</v>
      </c>
      <c r="K4" s="3">
        <f t="shared" si="0"/>
        <v>3709.87</v>
      </c>
      <c r="L4" s="3">
        <f t="shared" si="0"/>
        <v>4358.87</v>
      </c>
      <c r="M4" s="3">
        <f t="shared" si="0"/>
        <v>3249.48</v>
      </c>
      <c r="N4" s="3"/>
    </row>
    <row r="5" spans="1:14" x14ac:dyDescent="0.25">
      <c r="A5" s="5" t="s">
        <v>45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2"/>
    </row>
    <row r="6" spans="1:14" x14ac:dyDescent="0.25">
      <c r="A6" s="2" t="s">
        <v>29</v>
      </c>
      <c r="B6" s="3">
        <f>85+85+85+85+85+85+85+85+85+85</f>
        <v>850</v>
      </c>
      <c r="C6" s="3">
        <f>85+85+85+85+85+85+85+85+85</f>
        <v>765</v>
      </c>
      <c r="D6" s="3">
        <f t="shared" ref="D6:I6" si="1">85+85+85+85+85+85+85+85</f>
        <v>680</v>
      </c>
      <c r="E6" s="3">
        <f t="shared" si="1"/>
        <v>680</v>
      </c>
      <c r="F6" s="3">
        <f t="shared" si="1"/>
        <v>680</v>
      </c>
      <c r="G6" s="3">
        <f t="shared" si="1"/>
        <v>680</v>
      </c>
      <c r="H6" s="3">
        <f t="shared" si="1"/>
        <v>680</v>
      </c>
      <c r="I6" s="3">
        <f t="shared" si="1"/>
        <v>680</v>
      </c>
      <c r="J6" s="3">
        <f>85+85+85+85+85+85+85</f>
        <v>595</v>
      </c>
      <c r="K6" s="3">
        <f>85+85+85+85+85+85+85+85+80</f>
        <v>760</v>
      </c>
      <c r="L6" s="3">
        <f>850</f>
        <v>850</v>
      </c>
      <c r="M6" s="3">
        <f>85+85+85+85+85+85+85+85+85+85</f>
        <v>850</v>
      </c>
      <c r="N6" s="3">
        <f t="shared" ref="N6:N18" si="2">SUM(B6:M6)</f>
        <v>8750</v>
      </c>
    </row>
    <row r="7" spans="1:14" x14ac:dyDescent="0.25">
      <c r="A7" s="2" t="s">
        <v>28</v>
      </c>
      <c r="B7" s="3">
        <f>50+50+50+45+40+50+50+50+50</f>
        <v>435</v>
      </c>
      <c r="C7" s="3">
        <f>50+45+50+50+50+50+50</f>
        <v>345</v>
      </c>
      <c r="D7" s="3">
        <f>50+50+45+50+50+50+50</f>
        <v>345</v>
      </c>
      <c r="E7" s="3">
        <f>50+50+50+45+50+50+50</f>
        <v>345</v>
      </c>
      <c r="F7" s="3">
        <f>50+50+45+50+50</f>
        <v>245</v>
      </c>
      <c r="G7" s="3">
        <f>50+50+50+45+50</f>
        <v>245</v>
      </c>
      <c r="H7" s="3">
        <f>50+50+50+45+40+50+50</f>
        <v>335</v>
      </c>
      <c r="I7" s="3">
        <f>50+50+45+50</f>
        <v>195</v>
      </c>
      <c r="J7" s="3">
        <f>50+50+50+45+50+50+50</f>
        <v>345</v>
      </c>
      <c r="K7" s="3">
        <f>50+45+50</f>
        <v>145</v>
      </c>
      <c r="L7" s="3">
        <f>50+50+50+50+45</f>
        <v>245</v>
      </c>
      <c r="M7" s="3">
        <f>50+50+45+50+50</f>
        <v>245</v>
      </c>
      <c r="N7" s="3">
        <f t="shared" si="2"/>
        <v>3470</v>
      </c>
    </row>
    <row r="8" spans="1:14" x14ac:dyDescent="0.25">
      <c r="A8" s="2" t="s">
        <v>27</v>
      </c>
      <c r="B8" s="3">
        <f>100</f>
        <v>100</v>
      </c>
      <c r="C8" s="3"/>
      <c r="D8" s="3">
        <f>100</f>
        <v>100</v>
      </c>
      <c r="E8" s="3">
        <v>100</v>
      </c>
      <c r="F8" s="3"/>
      <c r="G8" s="3">
        <f>100+100</f>
        <v>200</v>
      </c>
      <c r="H8" s="3">
        <f>100+100</f>
        <v>200</v>
      </c>
      <c r="I8" s="3">
        <f>100+100</f>
        <v>200</v>
      </c>
      <c r="J8" s="3">
        <f>100+100+100</f>
        <v>300</v>
      </c>
      <c r="K8" s="3">
        <f>300+100</f>
        <v>400</v>
      </c>
      <c r="L8" s="3">
        <f>100+100+375</f>
        <v>575</v>
      </c>
      <c r="M8" s="3">
        <f>170+100</f>
        <v>270</v>
      </c>
      <c r="N8" s="3">
        <f t="shared" si="2"/>
        <v>2445</v>
      </c>
    </row>
    <row r="9" spans="1:14" x14ac:dyDescent="0.25">
      <c r="A9" s="2" t="s">
        <v>26</v>
      </c>
      <c r="B9" s="2"/>
      <c r="C9" s="2"/>
      <c r="D9" s="2"/>
      <c r="E9" s="2"/>
      <c r="F9" s="3">
        <f>25</f>
        <v>25</v>
      </c>
      <c r="G9" s="3">
        <f>25</f>
        <v>25</v>
      </c>
      <c r="H9" s="3">
        <f>25+25+25+25+25+25+25+25+25</f>
        <v>225</v>
      </c>
      <c r="I9" s="3">
        <f>25+25</f>
        <v>50</v>
      </c>
      <c r="J9" s="3">
        <v>25</v>
      </c>
      <c r="K9" s="3"/>
      <c r="L9" s="3">
        <f>50+15</f>
        <v>65</v>
      </c>
      <c r="M9" s="3"/>
      <c r="N9" s="3">
        <f t="shared" si="2"/>
        <v>415</v>
      </c>
    </row>
    <row r="10" spans="1:14" x14ac:dyDescent="0.25">
      <c r="A10" s="2" t="s">
        <v>25</v>
      </c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>
        <f>5</f>
        <v>5</v>
      </c>
      <c r="N10" s="3">
        <f t="shared" si="2"/>
        <v>5</v>
      </c>
    </row>
    <row r="11" spans="1:14" x14ac:dyDescent="0.25">
      <c r="A11" s="2" t="s">
        <v>24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>
        <f>10</f>
        <v>10</v>
      </c>
      <c r="N11" s="3">
        <f t="shared" si="2"/>
        <v>10</v>
      </c>
    </row>
    <row r="12" spans="1:14" x14ac:dyDescent="0.25">
      <c r="A12" s="2" t="s">
        <v>23</v>
      </c>
      <c r="B12" s="3"/>
      <c r="C12" s="3"/>
      <c r="D12" s="3">
        <v>360</v>
      </c>
      <c r="E12" s="3"/>
      <c r="F12" s="3"/>
      <c r="G12" s="3"/>
      <c r="H12" s="3"/>
      <c r="I12" s="3"/>
      <c r="J12" s="3"/>
      <c r="K12" s="3"/>
      <c r="L12" s="3"/>
      <c r="M12" s="3"/>
      <c r="N12" s="3">
        <f t="shared" si="2"/>
        <v>360</v>
      </c>
    </row>
    <row r="13" spans="1:14" x14ac:dyDescent="0.25">
      <c r="A13" s="2" t="s">
        <v>22</v>
      </c>
      <c r="B13" s="3"/>
      <c r="C13" s="3"/>
      <c r="D13" s="3">
        <v>765</v>
      </c>
      <c r="E13" s="3"/>
      <c r="F13" s="3"/>
      <c r="G13" s="3"/>
      <c r="H13" s="3"/>
      <c r="I13" s="3"/>
      <c r="J13" s="3"/>
      <c r="K13" s="3"/>
      <c r="L13" s="3"/>
      <c r="M13" s="3"/>
      <c r="N13" s="3">
        <f t="shared" si="2"/>
        <v>765</v>
      </c>
    </row>
    <row r="14" spans="1:14" x14ac:dyDescent="0.25">
      <c r="A14" s="2" t="s">
        <v>21</v>
      </c>
      <c r="B14" s="2"/>
      <c r="C14" s="2"/>
      <c r="D14" s="2"/>
      <c r="E14" s="2"/>
      <c r="F14" s="2"/>
      <c r="G14" s="3">
        <v>250</v>
      </c>
      <c r="H14" s="2"/>
      <c r="I14" s="2"/>
      <c r="J14" s="2"/>
      <c r="K14" s="2"/>
      <c r="L14" s="2"/>
      <c r="M14" s="2"/>
      <c r="N14" s="3">
        <f t="shared" si="2"/>
        <v>250</v>
      </c>
    </row>
    <row r="15" spans="1:14" x14ac:dyDescent="0.25">
      <c r="A15" s="2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3">
        <v>765</v>
      </c>
      <c r="L15" s="2"/>
      <c r="M15" s="2"/>
      <c r="N15" s="3">
        <f t="shared" si="2"/>
        <v>765</v>
      </c>
    </row>
    <row r="16" spans="1:14" x14ac:dyDescent="0.25">
      <c r="A16" s="2" t="s">
        <v>19</v>
      </c>
      <c r="B16" s="3"/>
      <c r="C16" s="3"/>
      <c r="D16" s="3"/>
      <c r="E16" s="3"/>
      <c r="F16" s="3"/>
      <c r="G16" s="3"/>
      <c r="H16" s="3"/>
      <c r="I16" s="3">
        <f>10+10</f>
        <v>20</v>
      </c>
      <c r="J16" s="3">
        <f>10+10+10+10</f>
        <v>40</v>
      </c>
      <c r="K16" s="3">
        <f>10+10+10+10+10</f>
        <v>50</v>
      </c>
      <c r="L16" s="3">
        <f>10+10</f>
        <v>20</v>
      </c>
      <c r="M16" s="3"/>
      <c r="N16" s="3">
        <f t="shared" si="2"/>
        <v>130</v>
      </c>
    </row>
    <row r="17" spans="1:14" x14ac:dyDescent="0.25">
      <c r="A17" s="2" t="s">
        <v>18</v>
      </c>
      <c r="B17" s="3"/>
      <c r="C17" s="3"/>
      <c r="D17" s="3"/>
      <c r="E17" s="3"/>
      <c r="F17" s="3"/>
      <c r="G17" s="3">
        <f>5</f>
        <v>5</v>
      </c>
      <c r="H17" s="3"/>
      <c r="I17" s="3">
        <f>5</f>
        <v>5</v>
      </c>
      <c r="J17" s="3"/>
      <c r="K17" s="3"/>
      <c r="L17" s="3"/>
      <c r="M17" s="3"/>
      <c r="N17" s="3">
        <f t="shared" si="2"/>
        <v>10</v>
      </c>
    </row>
    <row r="18" spans="1:14" x14ac:dyDescent="0.25">
      <c r="A18" s="1" t="s">
        <v>17</v>
      </c>
      <c r="B18" s="3">
        <f t="shared" ref="B18:M18" si="3">SUM(B6:B17)</f>
        <v>1385</v>
      </c>
      <c r="C18" s="3">
        <f t="shared" si="3"/>
        <v>1110</v>
      </c>
      <c r="D18" s="3">
        <f t="shared" si="3"/>
        <v>2250</v>
      </c>
      <c r="E18" s="3">
        <f t="shared" si="3"/>
        <v>1125</v>
      </c>
      <c r="F18" s="3">
        <f t="shared" si="3"/>
        <v>950</v>
      </c>
      <c r="G18" s="3">
        <f t="shared" si="3"/>
        <v>1405</v>
      </c>
      <c r="H18" s="3">
        <f t="shared" si="3"/>
        <v>1440</v>
      </c>
      <c r="I18" s="3">
        <f t="shared" si="3"/>
        <v>1150</v>
      </c>
      <c r="J18" s="3">
        <f t="shared" si="3"/>
        <v>1305</v>
      </c>
      <c r="K18" s="3">
        <f t="shared" si="3"/>
        <v>2120</v>
      </c>
      <c r="L18" s="3">
        <f t="shared" si="3"/>
        <v>1755</v>
      </c>
      <c r="M18" s="3">
        <f t="shared" si="3"/>
        <v>1380</v>
      </c>
      <c r="N18" s="3">
        <f t="shared" si="2"/>
        <v>17375</v>
      </c>
    </row>
    <row r="19" spans="1:1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1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9"/>
      <c r="L21" s="9"/>
      <c r="M21" s="9"/>
      <c r="N21" s="8"/>
    </row>
    <row r="22" spans="1:14" x14ac:dyDescent="0.25">
      <c r="A22" s="2" t="s">
        <v>15</v>
      </c>
      <c r="B22" s="3">
        <v>1100</v>
      </c>
      <c r="C22" s="3">
        <v>1100</v>
      </c>
      <c r="D22" s="3">
        <v>1100</v>
      </c>
      <c r="E22" s="3">
        <v>1100</v>
      </c>
      <c r="F22" s="3">
        <v>1100</v>
      </c>
      <c r="G22" s="3">
        <v>1100</v>
      </c>
      <c r="H22" s="3">
        <v>1100</v>
      </c>
      <c r="I22" s="3">
        <v>1100</v>
      </c>
      <c r="J22" s="3">
        <v>1100</v>
      </c>
      <c r="K22" s="3">
        <v>1100</v>
      </c>
      <c r="L22" s="3"/>
      <c r="M22" s="3"/>
      <c r="N22" s="3">
        <f>SUM(B22:M22)</f>
        <v>11000</v>
      </c>
    </row>
    <row r="23" spans="1:14" x14ac:dyDescent="0.25">
      <c r="A23" s="2" t="s">
        <v>14</v>
      </c>
      <c r="B23" s="3">
        <f>10+10+10+10</f>
        <v>40</v>
      </c>
      <c r="C23" s="3">
        <f>20+30</f>
        <v>50</v>
      </c>
      <c r="D23" s="3">
        <f>10+10+10+10</f>
        <v>40</v>
      </c>
      <c r="E23" s="3">
        <f>10+10+10+10</f>
        <v>40</v>
      </c>
      <c r="F23" s="3">
        <f>10+10+10+10+10</f>
        <v>50</v>
      </c>
      <c r="G23" s="3">
        <v>40</v>
      </c>
      <c r="H23" s="3">
        <f>10+10+10+10+10</f>
        <v>50</v>
      </c>
      <c r="I23" s="3">
        <f>40</f>
        <v>40</v>
      </c>
      <c r="J23" s="3">
        <f>40</f>
        <v>40</v>
      </c>
      <c r="K23" s="3">
        <f>50</f>
        <v>50</v>
      </c>
      <c r="L23" s="3">
        <f>10+10+10</f>
        <v>30</v>
      </c>
      <c r="M23" s="3"/>
      <c r="N23" s="3">
        <f>SUM(B23:M23)</f>
        <v>470</v>
      </c>
    </row>
    <row r="24" spans="1:14" x14ac:dyDescent="0.25">
      <c r="A24" s="2" t="s">
        <v>13</v>
      </c>
      <c r="B24" s="3">
        <v>226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>
        <f>SUM(B24:M24)</f>
        <v>226</v>
      </c>
    </row>
    <row r="25" spans="1:14" x14ac:dyDescent="0.25">
      <c r="A25" s="2" t="s">
        <v>12</v>
      </c>
      <c r="B25" s="3"/>
      <c r="C25" s="3"/>
      <c r="D25" s="3"/>
      <c r="E25" s="3">
        <f>903.03</f>
        <v>903.03</v>
      </c>
      <c r="F25" s="3"/>
      <c r="G25" s="3">
        <f>70.96+70.01</f>
        <v>140.97</v>
      </c>
      <c r="H25" s="3">
        <f>21</f>
        <v>21</v>
      </c>
      <c r="I25" s="3">
        <f>21</f>
        <v>21</v>
      </c>
      <c r="J25" s="3">
        <f>21</f>
        <v>21</v>
      </c>
      <c r="K25" s="3">
        <f>21</f>
        <v>21</v>
      </c>
      <c r="L25" s="3">
        <f>21+158.5</f>
        <v>179.5</v>
      </c>
      <c r="M25" s="3">
        <f>21</f>
        <v>21</v>
      </c>
      <c r="N25" s="3">
        <f>SUM(B25:M25)</f>
        <v>1328.5</v>
      </c>
    </row>
    <row r="26" spans="1:14" x14ac:dyDescent="0.25">
      <c r="A26" s="2" t="s">
        <v>11</v>
      </c>
      <c r="B26" s="3">
        <v>300</v>
      </c>
      <c r="C26" s="3"/>
      <c r="D26" s="3"/>
      <c r="E26" s="3"/>
      <c r="F26" s="3"/>
      <c r="G26" s="3"/>
      <c r="H26" s="3"/>
      <c r="I26" s="3"/>
      <c r="J26" s="3"/>
      <c r="K26" s="3">
        <v>300</v>
      </c>
      <c r="L26" s="3"/>
      <c r="M26" s="3"/>
      <c r="N26" s="3">
        <f>SUM(B26:M26)</f>
        <v>600</v>
      </c>
    </row>
    <row r="27" spans="1:14" x14ac:dyDescent="0.25">
      <c r="A27" s="2" t="s">
        <v>10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>
        <f>2000+554.89</f>
        <v>2554.89</v>
      </c>
      <c r="M27" s="3">
        <f>2000</f>
        <v>2000</v>
      </c>
      <c r="N27" s="3"/>
    </row>
    <row r="28" spans="1:14" x14ac:dyDescent="0.25">
      <c r="A28" s="2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>
        <v>100</v>
      </c>
      <c r="M28" s="3"/>
      <c r="N28" s="3"/>
    </row>
    <row r="29" spans="1:14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1" t="s">
        <v>8</v>
      </c>
      <c r="B30" s="3">
        <f t="shared" ref="B30:M30" si="4">SUM(B22:B28)</f>
        <v>1666</v>
      </c>
      <c r="C30" s="3">
        <f t="shared" si="4"/>
        <v>1150</v>
      </c>
      <c r="D30" s="3">
        <f t="shared" si="4"/>
        <v>1140</v>
      </c>
      <c r="E30" s="3">
        <f t="shared" si="4"/>
        <v>2043.03</v>
      </c>
      <c r="F30" s="3">
        <f t="shared" si="4"/>
        <v>1150</v>
      </c>
      <c r="G30" s="3">
        <f t="shared" si="4"/>
        <v>1280.97</v>
      </c>
      <c r="H30" s="3">
        <f t="shared" si="4"/>
        <v>1171</v>
      </c>
      <c r="I30" s="3">
        <f t="shared" si="4"/>
        <v>1161</v>
      </c>
      <c r="J30" s="3">
        <f t="shared" si="4"/>
        <v>1161</v>
      </c>
      <c r="K30" s="3">
        <f t="shared" si="4"/>
        <v>1471</v>
      </c>
      <c r="L30" s="3">
        <f t="shared" si="4"/>
        <v>2864.39</v>
      </c>
      <c r="M30" s="3">
        <f t="shared" si="4"/>
        <v>2021</v>
      </c>
      <c r="N30" s="3">
        <f>SUM(B30:M30)</f>
        <v>18279.39</v>
      </c>
    </row>
    <row r="31" spans="1:14" x14ac:dyDescent="0.25">
      <c r="A31" s="1" t="s">
        <v>7</v>
      </c>
      <c r="B31" s="3">
        <f t="shared" ref="B31:M31" si="5">B18-B30</f>
        <v>-281</v>
      </c>
      <c r="C31" s="4">
        <f t="shared" si="5"/>
        <v>-40</v>
      </c>
      <c r="D31" s="3">
        <f t="shared" si="5"/>
        <v>1110</v>
      </c>
      <c r="E31" s="3">
        <f t="shared" si="5"/>
        <v>-918.03</v>
      </c>
      <c r="F31" s="3">
        <f t="shared" si="5"/>
        <v>-200</v>
      </c>
      <c r="G31" s="4">
        <f t="shared" si="5"/>
        <v>124.02999999999997</v>
      </c>
      <c r="H31" s="4">
        <f t="shared" si="5"/>
        <v>269</v>
      </c>
      <c r="I31" s="3">
        <f t="shared" si="5"/>
        <v>-11</v>
      </c>
      <c r="J31" s="3">
        <f t="shared" si="5"/>
        <v>144</v>
      </c>
      <c r="K31" s="3">
        <f t="shared" si="5"/>
        <v>649</v>
      </c>
      <c r="L31" s="3">
        <f t="shared" si="5"/>
        <v>-1109.3899999999999</v>
      </c>
      <c r="M31" s="3">
        <f t="shared" si="5"/>
        <v>-641</v>
      </c>
      <c r="N31" s="3">
        <f>SUM(B31:M31)</f>
        <v>-904.38999999999987</v>
      </c>
    </row>
    <row r="32" spans="1:14" x14ac:dyDescent="0.25">
      <c r="A32" s="1" t="s">
        <v>2</v>
      </c>
      <c r="B32" s="3">
        <f t="shared" ref="B32:M32" si="6">(B4+B18)-B30</f>
        <v>3231.87</v>
      </c>
      <c r="C32" s="3">
        <f t="shared" si="6"/>
        <v>3191.87</v>
      </c>
      <c r="D32" s="3">
        <f t="shared" si="6"/>
        <v>4301.87</v>
      </c>
      <c r="E32" s="3">
        <f t="shared" si="6"/>
        <v>3383.84</v>
      </c>
      <c r="F32" s="3">
        <f t="shared" si="6"/>
        <v>3183.84</v>
      </c>
      <c r="G32" s="3">
        <f t="shared" si="6"/>
        <v>3307.87</v>
      </c>
      <c r="H32" s="3">
        <f t="shared" si="6"/>
        <v>3576.87</v>
      </c>
      <c r="I32" s="3">
        <f t="shared" si="6"/>
        <v>3565.87</v>
      </c>
      <c r="J32" s="3">
        <f t="shared" si="6"/>
        <v>3709.87</v>
      </c>
      <c r="K32" s="3">
        <f t="shared" si="6"/>
        <v>4358.87</v>
      </c>
      <c r="L32" s="3">
        <f t="shared" si="6"/>
        <v>3249.48</v>
      </c>
      <c r="M32" s="3">
        <f t="shared" si="6"/>
        <v>2608.4799999999996</v>
      </c>
      <c r="N32" s="3"/>
    </row>
    <row r="33" spans="1:1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5">
      <c r="A34" s="1" t="s">
        <v>6</v>
      </c>
      <c r="B34" s="3">
        <f>B4</f>
        <v>3512.87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 t="s">
        <v>5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1" t="s">
        <v>4</v>
      </c>
      <c r="B36" s="3">
        <f>N18</f>
        <v>17375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1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1" t="s">
        <v>3</v>
      </c>
      <c r="B38" s="3">
        <f>N30</f>
        <v>18279.39</v>
      </c>
      <c r="C38" s="2"/>
      <c r="D38" s="2"/>
      <c r="E38" s="2"/>
      <c r="F38" s="2"/>
      <c r="G38" s="2"/>
      <c r="H38" s="2"/>
      <c r="I38" s="2"/>
      <c r="J38" s="2"/>
      <c r="K38" s="3"/>
      <c r="L38" s="3"/>
      <c r="M38" s="3"/>
      <c r="N38" s="2"/>
    </row>
    <row r="39" spans="1:14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3"/>
      <c r="L39" s="3"/>
      <c r="M39" s="3"/>
      <c r="N39" s="3"/>
    </row>
    <row r="40" spans="1:14" x14ac:dyDescent="0.25">
      <c r="A40" s="1" t="s">
        <v>2</v>
      </c>
      <c r="B40" s="3">
        <f>M32</f>
        <v>2608.4799999999996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1" t="s">
        <v>1</v>
      </c>
      <c r="B41" s="3">
        <f>B36-B38</f>
        <v>-904.38999999999942</v>
      </c>
      <c r="C41" s="2"/>
      <c r="D41" s="2" t="s"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2">
    <mergeCell ref="A1:N1"/>
    <mergeCell ref="A2:N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901171BD-197A-48E4-B0EE-E46DF37E7E74}"/>
</file>

<file path=customXml/itemProps2.xml><?xml version="1.0" encoding="utf-8"?>
<ds:datastoreItem xmlns:ds="http://schemas.openxmlformats.org/officeDocument/2006/customXml" ds:itemID="{9227B12C-3F8A-43E7-8D52-3792A0C33C28}"/>
</file>

<file path=customXml/itemProps3.xml><?xml version="1.0" encoding="utf-8"?>
<ds:datastoreItem xmlns:ds="http://schemas.openxmlformats.org/officeDocument/2006/customXml" ds:itemID="{3794EAA9-F816-4937-B921-C477919C96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MacLeod</dc:creator>
  <cp:lastModifiedBy>Ryan MacLeod</cp:lastModifiedBy>
  <dcterms:created xsi:type="dcterms:W3CDTF">2026-06-29T18:55:28Z</dcterms:created>
  <dcterms:modified xsi:type="dcterms:W3CDTF">2026-06-29T19:04:15Z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