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1.xml" ContentType="application/vnd.ms-excel.threadedcomments+xml"/>
  <Override PartName="/xl/comments8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91e87eea257872b9/Documents/Sailability Scotland/Finance/Final accounts from STB-2025/"/>
    </mc:Choice>
  </mc:AlternateContent>
  <xr:revisionPtr revIDLastSave="0" documentId="8_{B382F02B-A5E2-402E-ADB2-1AFD773D7051}" xr6:coauthVersionLast="47" xr6:coauthVersionMax="47" xr10:uidLastSave="{00000000-0000-0000-0000-000000000000}"/>
  <bookViews>
    <workbookView xWindow="-98" yWindow="-98" windowWidth="21795" windowHeight="12975" firstSheet="2" activeTab="5" xr2:uid="{871B3FD4-4E76-4AA4-A89C-728660A41FE9}"/>
  </bookViews>
  <sheets>
    <sheet name="Consolidated - OSCR Uploads" sheetId="15" r:id="rId1"/>
    <sheet name="Consolidated - AGM" sheetId="16" r:id="rId2"/>
    <sheet name="Movement of Funds" sheetId="32" r:id="rId3"/>
    <sheet name="Gross Trading Receipts" sheetId="30" r:id="rId4"/>
    <sheet name="Income &amp; Expenditure Statement" sheetId="2" r:id="rId5"/>
    <sheet name="A1" sheetId="10" r:id="rId6"/>
    <sheet name="Statement of Funds" sheetId="3" r:id="rId7"/>
    <sheet name="Bank Balances" sheetId="5" r:id="rId8"/>
    <sheet name="B1 Cash Funds" sheetId="6" r:id="rId9"/>
    <sheet name="B1" sheetId="12" r:id="rId10"/>
    <sheet name="B2" sheetId="13" r:id="rId11"/>
    <sheet name="B3 Other Assets" sheetId="7" r:id="rId12"/>
    <sheet name="B3" sheetId="14" r:id="rId13"/>
    <sheet name="Analysis of Receipts &amp; Payments" sheetId="8" r:id="rId14"/>
    <sheet name="C2 Grants" sheetId="21" r:id="rId15"/>
    <sheet name="C2 Grants analysis" sheetId="20" r:id="rId16"/>
    <sheet name="C3b Trustee Renunmeration" sheetId="19" r:id="rId17"/>
    <sheet name="C4b Trustee Expenses" sheetId="9" r:id="rId18"/>
    <sheet name="C4b Trustee Expenses analysis" sheetId="17" r:id="rId19"/>
    <sheet name="Analysis of fundraising" sheetId="29" r:id="rId20"/>
    <sheet name="Year" sheetId="11" r:id="rId21"/>
  </sheets>
  <externalReferences>
    <externalReference r:id="rId22"/>
  </externalReferences>
  <definedNames>
    <definedName name="i_Date_of_Treasurer_Signature">Year!$A$16</definedName>
    <definedName name="i_Year">Year!$A$2</definedName>
    <definedName name="_xlnm.Print_Area" localSheetId="1">'Consolidated - AGM'!$A$1:$I$167</definedName>
    <definedName name="_xlnm.Print_Area" localSheetId="0">'Consolidated - OSCR Uploads'!$A$1:$I$181</definedName>
    <definedName name="range_Charity_Number">Year!$A$13</definedName>
    <definedName name="range_Name_of_Organisation">Year!$A$10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0" l="1"/>
  <c r="B166" i="16"/>
  <c r="H157" i="15"/>
  <c r="H158" i="15"/>
  <c r="H156" i="15"/>
  <c r="D79" i="16"/>
  <c r="D49" i="16"/>
  <c r="D7" i="5" l="1"/>
  <c r="A1" i="21" l="1"/>
  <c r="D13" i="6" l="1"/>
  <c r="D4" i="32" l="1"/>
  <c r="I19" i="2"/>
  <c r="I9" i="2"/>
  <c r="C8" i="30" l="1"/>
  <c r="C7" i="30"/>
  <c r="C6" i="30"/>
  <c r="G5" i="7" l="1"/>
  <c r="G6" i="8"/>
  <c r="A1" i="5" l="1"/>
  <c r="D6" i="5"/>
  <c r="D11" i="5"/>
  <c r="C11" i="5"/>
  <c r="B11" i="5"/>
  <c r="D10" i="5"/>
  <c r="C10" i="5"/>
  <c r="B10" i="5"/>
  <c r="C6" i="5"/>
  <c r="B6" i="5"/>
  <c r="F24" i="2"/>
  <c r="F23" i="2"/>
  <c r="F21" i="2"/>
  <c r="F19" i="2"/>
  <c r="F18" i="2"/>
  <c r="F14" i="2"/>
  <c r="F11" i="2"/>
  <c r="F10" i="2"/>
  <c r="F9" i="2"/>
  <c r="F8" i="2"/>
  <c r="B5" i="13"/>
  <c r="F9" i="32"/>
  <c r="E9" i="32"/>
  <c r="E69" i="15"/>
  <c r="F69" i="15"/>
  <c r="E70" i="15"/>
  <c r="E72" i="15"/>
  <c r="E75" i="15"/>
  <c r="F75" i="15"/>
  <c r="D66" i="15"/>
  <c r="D69" i="15"/>
  <c r="H69" i="15" s="1"/>
  <c r="D70" i="15"/>
  <c r="D71" i="15"/>
  <c r="D72" i="15"/>
  <c r="D75" i="15"/>
  <c r="H75" i="15" s="1"/>
  <c r="F72" i="16"/>
  <c r="E72" i="16"/>
  <c r="D72" i="16"/>
  <c r="H72" i="16" s="1"/>
  <c r="D67" i="16"/>
  <c r="E67" i="16"/>
  <c r="F67" i="16"/>
  <c r="H67" i="16" s="1"/>
  <c r="D68" i="16"/>
  <c r="E68" i="16"/>
  <c r="E71" i="15" s="1"/>
  <c r="F68" i="16"/>
  <c r="F71" i="15" s="1"/>
  <c r="D69" i="16"/>
  <c r="E69" i="16"/>
  <c r="F69" i="16"/>
  <c r="F72" i="15" s="1"/>
  <c r="F66" i="16"/>
  <c r="E66" i="16"/>
  <c r="D66" i="16"/>
  <c r="D63" i="16"/>
  <c r="D60" i="16"/>
  <c r="E164" i="15"/>
  <c r="E165" i="15"/>
  <c r="H152" i="16"/>
  <c r="H165" i="15" s="1"/>
  <c r="H151" i="16"/>
  <c r="E153" i="16"/>
  <c r="D152" i="16"/>
  <c r="F152" i="16" s="1"/>
  <c r="D151" i="16"/>
  <c r="F10" i="32"/>
  <c r="F63" i="16" s="1"/>
  <c r="F66" i="15" s="1"/>
  <c r="E10" i="32"/>
  <c r="E63" i="16" s="1"/>
  <c r="E66" i="15" s="1"/>
  <c r="G16" i="32"/>
  <c r="G15" i="32"/>
  <c r="G14" i="32"/>
  <c r="H72" i="15" l="1"/>
  <c r="F70" i="15"/>
  <c r="H70" i="15" s="1"/>
  <c r="H63" i="16"/>
  <c r="H71" i="15"/>
  <c r="H66" i="15"/>
  <c r="H66" i="16"/>
  <c r="H68" i="16"/>
  <c r="H69" i="16"/>
  <c r="D153" i="16"/>
  <c r="H153" i="16"/>
  <c r="F151" i="16"/>
  <c r="F164" i="15" s="1"/>
  <c r="E166" i="15"/>
  <c r="D165" i="15"/>
  <c r="D164" i="15"/>
  <c r="F165" i="15"/>
  <c r="H164" i="15"/>
  <c r="H166" i="15" s="1"/>
  <c r="G10" i="32"/>
  <c r="D166" i="15" l="1"/>
  <c r="F166" i="15"/>
  <c r="F153" i="16"/>
  <c r="E33" i="3" l="1"/>
  <c r="A2" i="32"/>
  <c r="A1" i="32"/>
  <c r="E34" i="3" l="1"/>
  <c r="H159" i="15"/>
  <c r="E159" i="15"/>
  <c r="H155" i="15"/>
  <c r="F155" i="15"/>
  <c r="E155" i="15"/>
  <c r="D155" i="15"/>
  <c r="B153" i="15"/>
  <c r="H146" i="16"/>
  <c r="E143" i="16"/>
  <c r="E144" i="16"/>
  <c r="E145" i="16"/>
  <c r="D144" i="16"/>
  <c r="D157" i="15" s="1"/>
  <c r="F157" i="15" s="1"/>
  <c r="D145" i="16"/>
  <c r="D158" i="15" s="1"/>
  <c r="F158" i="15" s="1"/>
  <c r="D143" i="16"/>
  <c r="D146" i="16" s="1"/>
  <c r="B144" i="16"/>
  <c r="B145" i="16"/>
  <c r="B143" i="16"/>
  <c r="H142" i="16"/>
  <c r="E142" i="16"/>
  <c r="F142" i="16"/>
  <c r="D142" i="16"/>
  <c r="E8" i="30"/>
  <c r="E7" i="30"/>
  <c r="F145" i="16" l="1"/>
  <c r="F143" i="16"/>
  <c r="F144" i="16"/>
  <c r="D156" i="15"/>
  <c r="F156" i="15" s="1"/>
  <c r="F159" i="15" s="1"/>
  <c r="E146" i="16"/>
  <c r="D159" i="15"/>
  <c r="F146" i="16" l="1"/>
  <c r="A12" i="30"/>
  <c r="G9" i="30"/>
  <c r="D9" i="30"/>
  <c r="C9" i="30"/>
  <c r="E6" i="30"/>
  <c r="G5" i="30"/>
  <c r="A3" i="30"/>
  <c r="A1" i="30"/>
  <c r="E7" i="29"/>
  <c r="E8" i="29" s="1"/>
  <c r="E6" i="29"/>
  <c r="A11" i="29"/>
  <c r="G8" i="29"/>
  <c r="D8" i="29"/>
  <c r="C8" i="29"/>
  <c r="G5" i="29"/>
  <c r="A3" i="29"/>
  <c r="A1" i="29"/>
  <c r="H57" i="15"/>
  <c r="H54" i="16"/>
  <c r="C10" i="12"/>
  <c r="E54" i="16" s="1"/>
  <c r="F10" i="12"/>
  <c r="F13" i="6"/>
  <c r="D9" i="32" s="1"/>
  <c r="B11" i="6"/>
  <c r="B10" i="12" s="1"/>
  <c r="A3" i="5"/>
  <c r="B12" i="5"/>
  <c r="G140" i="15"/>
  <c r="H15" i="15"/>
  <c r="L12" i="10"/>
  <c r="F15" i="10"/>
  <c r="H13" i="16"/>
  <c r="H6" i="16"/>
  <c r="H9" i="16"/>
  <c r="H10" i="16"/>
  <c r="H11" i="16"/>
  <c r="G8" i="8"/>
  <c r="G7" i="8"/>
  <c r="H116" i="15" s="1"/>
  <c r="D62" i="16" l="1"/>
  <c r="D20" i="32"/>
  <c r="D57" i="15"/>
  <c r="D10" i="12"/>
  <c r="D11" i="6"/>
  <c r="D54" i="16"/>
  <c r="F54" i="16" s="1"/>
  <c r="E57" i="15"/>
  <c r="F57" i="15" s="1"/>
  <c r="D34" i="3"/>
  <c r="F34" i="3" s="1"/>
  <c r="E9" i="30"/>
  <c r="D6" i="8"/>
  <c r="D65" i="15" l="1"/>
  <c r="D76" i="15" s="1"/>
  <c r="D73" i="16"/>
  <c r="C12" i="5"/>
  <c r="E11" i="5" l="1"/>
  <c r="D8" i="5"/>
  <c r="D12" i="5" l="1"/>
  <c r="E10" i="5"/>
  <c r="E12" i="5" s="1"/>
  <c r="E62" i="16" l="1"/>
  <c r="F20" i="32" l="1"/>
  <c r="F62" i="16"/>
  <c r="E65" i="15"/>
  <c r="H62" i="16"/>
  <c r="H73" i="16" s="1"/>
  <c r="E73" i="16"/>
  <c r="G9" i="32"/>
  <c r="E20" i="32"/>
  <c r="F65" i="15" l="1"/>
  <c r="F76" i="15" s="1"/>
  <c r="F73" i="16"/>
  <c r="E76" i="15"/>
  <c r="H65" i="15"/>
  <c r="H76" i="15" s="1"/>
  <c r="G20" i="32"/>
  <c r="B136" i="15" l="1"/>
  <c r="C136" i="15"/>
  <c r="B137" i="15"/>
  <c r="C137" i="15"/>
  <c r="C135" i="15"/>
  <c r="B135" i="15"/>
  <c r="H134" i="15"/>
  <c r="B125" i="16"/>
  <c r="C125" i="16"/>
  <c r="B126" i="16"/>
  <c r="C126" i="16"/>
  <c r="B127" i="16"/>
  <c r="C127" i="16"/>
  <c r="B128" i="16"/>
  <c r="C128" i="16"/>
  <c r="C124" i="16"/>
  <c r="B124" i="16"/>
  <c r="H123" i="16"/>
  <c r="H7" i="21"/>
  <c r="H136" i="15" s="1"/>
  <c r="H8" i="21"/>
  <c r="H126" i="16" s="1"/>
  <c r="H9" i="21"/>
  <c r="H127" i="16" s="1"/>
  <c r="H10" i="21"/>
  <c r="H6" i="21"/>
  <c r="H124" i="16" s="1"/>
  <c r="H5" i="21"/>
  <c r="H11" i="20"/>
  <c r="H5" i="20"/>
  <c r="B147" i="15"/>
  <c r="B148" i="15"/>
  <c r="B149" i="15"/>
  <c r="H146" i="15"/>
  <c r="E146" i="15"/>
  <c r="D146" i="15"/>
  <c r="B146" i="15"/>
  <c r="B136" i="16"/>
  <c r="B137" i="16"/>
  <c r="B138" i="16"/>
  <c r="B135" i="16"/>
  <c r="C101" i="15"/>
  <c r="D101" i="15"/>
  <c r="E101" i="15"/>
  <c r="C102" i="15"/>
  <c r="D102" i="15"/>
  <c r="E102" i="15"/>
  <c r="C103" i="15"/>
  <c r="D103" i="15"/>
  <c r="E103" i="15"/>
  <c r="D12" i="16"/>
  <c r="F12" i="16" s="1"/>
  <c r="D7" i="21"/>
  <c r="E136" i="15" s="1"/>
  <c r="F7" i="21"/>
  <c r="F136" i="15" s="1"/>
  <c r="D8" i="21"/>
  <c r="E126" i="16" s="1"/>
  <c r="F8" i="21"/>
  <c r="F126" i="16" s="1"/>
  <c r="D9" i="21"/>
  <c r="E127" i="16" s="1"/>
  <c r="F9" i="21"/>
  <c r="F127" i="16" s="1"/>
  <c r="D10" i="21"/>
  <c r="F10" i="21"/>
  <c r="F6" i="21"/>
  <c r="F124" i="16" s="1"/>
  <c r="D6" i="21"/>
  <c r="A13" i="21"/>
  <c r="A3" i="21"/>
  <c r="F11" i="20"/>
  <c r="D11" i="20"/>
  <c r="F128" i="16" l="1"/>
  <c r="H128" i="16"/>
  <c r="H125" i="16"/>
  <c r="E128" i="16"/>
  <c r="E137" i="15"/>
  <c r="F125" i="16"/>
  <c r="E125" i="16"/>
  <c r="D11" i="21"/>
  <c r="E129" i="16" s="1"/>
  <c r="H137" i="15"/>
  <c r="F137" i="15"/>
  <c r="E135" i="15"/>
  <c r="F135" i="15"/>
  <c r="F11" i="21"/>
  <c r="F129" i="16" s="1"/>
  <c r="E124" i="16"/>
  <c r="H11" i="21"/>
  <c r="H129" i="16" s="1"/>
  <c r="H135" i="15"/>
  <c r="F140" i="15" l="1"/>
  <c r="E140" i="15"/>
  <c r="H140" i="15"/>
  <c r="A13" i="20"/>
  <c r="A3" i="20"/>
  <c r="A1" i="20"/>
  <c r="F5" i="19"/>
  <c r="A9" i="19"/>
  <c r="A3" i="19"/>
  <c r="A1" i="19"/>
  <c r="L15" i="10"/>
  <c r="J15" i="10"/>
  <c r="O15" i="10" s="1"/>
  <c r="H13" i="15"/>
  <c r="F14" i="15"/>
  <c r="L13" i="10"/>
  <c r="J14" i="10"/>
  <c r="O14" i="10" s="1"/>
  <c r="H14" i="15"/>
  <c r="H16" i="15"/>
  <c r="N12" i="2"/>
  <c r="O12" i="2"/>
  <c r="J12" i="2"/>
  <c r="H12" i="2"/>
  <c r="N14" i="10" l="1"/>
  <c r="N15" i="10"/>
  <c r="A1" i="8"/>
  <c r="C96" i="16" l="1"/>
  <c r="D96" i="16"/>
  <c r="E96" i="16"/>
  <c r="C94" i="16"/>
  <c r="D94" i="16"/>
  <c r="E94" i="16"/>
  <c r="C95" i="16"/>
  <c r="D95" i="16"/>
  <c r="E95" i="16"/>
  <c r="F7" i="9" l="1"/>
  <c r="F8" i="9"/>
  <c r="F9" i="9"/>
  <c r="F6" i="9"/>
  <c r="B7" i="9"/>
  <c r="C7" i="9"/>
  <c r="D7" i="9"/>
  <c r="B8" i="9"/>
  <c r="C8" i="9"/>
  <c r="D8" i="9"/>
  <c r="B9" i="9"/>
  <c r="C9" i="9"/>
  <c r="D9" i="9"/>
  <c r="D6" i="9"/>
  <c r="C6" i="9"/>
  <c r="B6" i="9"/>
  <c r="G26" i="17"/>
  <c r="D10" i="17"/>
  <c r="A29" i="17"/>
  <c r="C10" i="17"/>
  <c r="F5" i="17"/>
  <c r="A3" i="17"/>
  <c r="G27" i="17" l="1"/>
  <c r="E137" i="16"/>
  <c r="E148" i="15"/>
  <c r="E136" i="16"/>
  <c r="E147" i="15"/>
  <c r="E138" i="16"/>
  <c r="E149" i="15"/>
  <c r="D149" i="15"/>
  <c r="D138" i="16"/>
  <c r="D137" i="16"/>
  <c r="D148" i="15"/>
  <c r="D136" i="16"/>
  <c r="D147" i="15"/>
  <c r="H148" i="15"/>
  <c r="H137" i="16"/>
  <c r="H149" i="15"/>
  <c r="H138" i="16"/>
  <c r="H136" i="16"/>
  <c r="H147" i="15"/>
  <c r="F10" i="17"/>
  <c r="A12" i="14"/>
  <c r="B12" i="14"/>
  <c r="A13" i="14"/>
  <c r="B13" i="14"/>
  <c r="E13" i="14"/>
  <c r="A14" i="14"/>
  <c r="B14" i="14"/>
  <c r="E14" i="14"/>
  <c r="C12" i="7"/>
  <c r="E12" i="14" s="1"/>
  <c r="C13" i="7"/>
  <c r="C14" i="7"/>
  <c r="C15" i="7"/>
  <c r="E12" i="7"/>
  <c r="I12" i="7" s="1"/>
  <c r="E13" i="7"/>
  <c r="I13" i="7" s="1"/>
  <c r="E14" i="7"/>
  <c r="I14" i="7" s="1"/>
  <c r="D150" i="15" l="1"/>
  <c r="H150" i="15"/>
  <c r="E150" i="15"/>
  <c r="F101" i="15"/>
  <c r="F94" i="16"/>
  <c r="F12" i="14"/>
  <c r="F102" i="15"/>
  <c r="F95" i="16"/>
  <c r="B102" i="15"/>
  <c r="B95" i="16"/>
  <c r="B103" i="15"/>
  <c r="B96" i="16"/>
  <c r="I103" i="15"/>
  <c r="I96" i="16"/>
  <c r="I102" i="15"/>
  <c r="I95" i="16"/>
  <c r="B101" i="15"/>
  <c r="B94" i="16"/>
  <c r="F14" i="14"/>
  <c r="F103" i="15"/>
  <c r="F96" i="16"/>
  <c r="F13" i="14"/>
  <c r="I101" i="15"/>
  <c r="I94" i="16"/>
  <c r="F16" i="3"/>
  <c r="F17" i="3"/>
  <c r="F18" i="3"/>
  <c r="H26" i="16"/>
  <c r="H30" i="16"/>
  <c r="L39" i="10"/>
  <c r="H30" i="15"/>
  <c r="H29" i="16"/>
  <c r="H12" i="15"/>
  <c r="H11" i="15"/>
  <c r="H21" i="2"/>
  <c r="E51" i="16"/>
  <c r="H51" i="16"/>
  <c r="H54" i="15"/>
  <c r="E54" i="15"/>
  <c r="B180" i="15"/>
  <c r="D93" i="16"/>
  <c r="E93" i="16"/>
  <c r="D100" i="15"/>
  <c r="E100" i="15"/>
  <c r="A1" i="9"/>
  <c r="A1" i="14"/>
  <c r="A1" i="7"/>
  <c r="A1" i="13"/>
  <c r="A1" i="12"/>
  <c r="A1" i="6"/>
  <c r="A1" i="3"/>
  <c r="A2" i="3"/>
  <c r="A1" i="2"/>
  <c r="A1" i="10"/>
  <c r="A2" i="10"/>
  <c r="A1" i="15"/>
  <c r="A2" i="15"/>
  <c r="A2" i="16"/>
  <c r="A1" i="16"/>
  <c r="J3" i="2"/>
  <c r="I93" i="16"/>
  <c r="C7" i="7"/>
  <c r="E7" i="7" s="1"/>
  <c r="I7" i="7" s="1"/>
  <c r="C8" i="7"/>
  <c r="E8" i="14" s="1"/>
  <c r="C9" i="7"/>
  <c r="E9" i="14" s="1"/>
  <c r="F9" i="14" s="1"/>
  <c r="C10" i="7"/>
  <c r="E10" i="14" s="1"/>
  <c r="C11" i="7"/>
  <c r="E11" i="14" s="1"/>
  <c r="I97" i="16"/>
  <c r="A11" i="14"/>
  <c r="C100" i="15" s="1"/>
  <c r="B11" i="14"/>
  <c r="B100" i="15" s="1"/>
  <c r="B7" i="12"/>
  <c r="D51" i="16" s="1"/>
  <c r="D7" i="6"/>
  <c r="F14" i="3"/>
  <c r="E135" i="16"/>
  <c r="E139" i="16" s="1"/>
  <c r="D135" i="16"/>
  <c r="D139" i="16" s="1"/>
  <c r="H114" i="16"/>
  <c r="E114" i="16"/>
  <c r="D114" i="16"/>
  <c r="H113" i="16"/>
  <c r="E113" i="16"/>
  <c r="D113" i="16"/>
  <c r="H108" i="16"/>
  <c r="E108" i="16"/>
  <c r="H107" i="16"/>
  <c r="E107" i="16"/>
  <c r="H106" i="16"/>
  <c r="E106" i="16"/>
  <c r="E97" i="16"/>
  <c r="D97" i="16"/>
  <c r="E92" i="16"/>
  <c r="D92" i="16"/>
  <c r="E91" i="16"/>
  <c r="D91" i="16"/>
  <c r="E90" i="16"/>
  <c r="D90" i="16"/>
  <c r="E89" i="16"/>
  <c r="D89" i="16"/>
  <c r="E88" i="16"/>
  <c r="D88" i="16"/>
  <c r="H79" i="16"/>
  <c r="H81" i="16" s="1"/>
  <c r="E79" i="16"/>
  <c r="E81" i="16" s="1"/>
  <c r="D81" i="16"/>
  <c r="H36" i="16"/>
  <c r="H35" i="16"/>
  <c r="H22" i="16"/>
  <c r="F22" i="16"/>
  <c r="E22" i="16"/>
  <c r="D22" i="16"/>
  <c r="A7" i="11"/>
  <c r="A5" i="11"/>
  <c r="F5" i="9"/>
  <c r="H145" i="15" s="1"/>
  <c r="G12" i="8"/>
  <c r="H112" i="16" s="1"/>
  <c r="G5" i="8"/>
  <c r="H114" i="15" s="1"/>
  <c r="J5" i="14"/>
  <c r="B33" i="3"/>
  <c r="H4" i="3"/>
  <c r="I5" i="7"/>
  <c r="F9" i="12"/>
  <c r="F6" i="12"/>
  <c r="H50" i="16" s="1"/>
  <c r="F4" i="6"/>
  <c r="L3" i="2"/>
  <c r="N3" i="2"/>
  <c r="N4" i="10"/>
  <c r="F33" i="10"/>
  <c r="F34" i="10"/>
  <c r="F39" i="10"/>
  <c r="F24" i="10"/>
  <c r="H123" i="15"/>
  <c r="H122" i="15"/>
  <c r="D123" i="15"/>
  <c r="E123" i="15"/>
  <c r="E122" i="15"/>
  <c r="D122" i="15"/>
  <c r="H117" i="15"/>
  <c r="H115" i="15"/>
  <c r="E115" i="15"/>
  <c r="E116" i="15"/>
  <c r="E117" i="15"/>
  <c r="D96" i="15"/>
  <c r="E96" i="15"/>
  <c r="D97" i="15"/>
  <c r="E97" i="15"/>
  <c r="D98" i="15"/>
  <c r="E98" i="15"/>
  <c r="D99" i="15"/>
  <c r="E99" i="15"/>
  <c r="D104" i="15"/>
  <c r="E104" i="15"/>
  <c r="E95" i="15"/>
  <c r="D95" i="15"/>
  <c r="H83" i="15"/>
  <c r="H85" i="15" s="1"/>
  <c r="E83" i="15"/>
  <c r="E85" i="15" s="1"/>
  <c r="D83" i="15"/>
  <c r="H38" i="15"/>
  <c r="H34" i="15"/>
  <c r="H33" i="15"/>
  <c r="H32" i="15"/>
  <c r="H29" i="15"/>
  <c r="H24" i="15"/>
  <c r="F24" i="15"/>
  <c r="E24" i="15"/>
  <c r="D24" i="15"/>
  <c r="D16" i="14"/>
  <c r="A7" i="14"/>
  <c r="C89" i="16" s="1"/>
  <c r="A8" i="14"/>
  <c r="C90" i="16" s="1"/>
  <c r="A9" i="14"/>
  <c r="C91" i="16" s="1"/>
  <c r="A10" i="14"/>
  <c r="C92" i="16" s="1"/>
  <c r="A15" i="14"/>
  <c r="C104" i="15" s="1"/>
  <c r="A6" i="14"/>
  <c r="C95" i="15" s="1"/>
  <c r="A18" i="14"/>
  <c r="B15" i="14"/>
  <c r="B97" i="16" s="1"/>
  <c r="I99" i="15"/>
  <c r="B10" i="14"/>
  <c r="B99" i="15" s="1"/>
  <c r="I98" i="15"/>
  <c r="B9" i="14"/>
  <c r="B91" i="16" s="1"/>
  <c r="I97" i="15"/>
  <c r="B8" i="14"/>
  <c r="B90" i="16" s="1"/>
  <c r="I96" i="15"/>
  <c r="B7" i="14"/>
  <c r="B96" i="15" s="1"/>
  <c r="I88" i="16"/>
  <c r="B6" i="14"/>
  <c r="B88" i="16" s="1"/>
  <c r="A3" i="14"/>
  <c r="A4" i="13"/>
  <c r="A4" i="12"/>
  <c r="A9" i="13"/>
  <c r="F7" i="13"/>
  <c r="C7" i="13"/>
  <c r="B7" i="13"/>
  <c r="D5" i="13"/>
  <c r="D7" i="13" s="1"/>
  <c r="C9" i="12"/>
  <c r="E56" i="15" s="1"/>
  <c r="E53" i="16"/>
  <c r="C5" i="12"/>
  <c r="E52" i="15" s="1"/>
  <c r="A14" i="12"/>
  <c r="N24" i="10"/>
  <c r="L24" i="10"/>
  <c r="J24" i="10"/>
  <c r="O24" i="10" s="1"/>
  <c r="I24" i="10"/>
  <c r="E24" i="10"/>
  <c r="G24" i="10"/>
  <c r="H24" i="10"/>
  <c r="L30" i="10"/>
  <c r="E30" i="10"/>
  <c r="G30" i="10"/>
  <c r="I30" i="10" s="1"/>
  <c r="I40" i="10" s="1"/>
  <c r="I42" i="10" s="1"/>
  <c r="D30" i="10"/>
  <c r="L38" i="10"/>
  <c r="E38" i="10"/>
  <c r="G38" i="10"/>
  <c r="D38" i="10"/>
  <c r="E39" i="10"/>
  <c r="G39" i="10"/>
  <c r="D39" i="10"/>
  <c r="L34" i="10"/>
  <c r="E34" i="10"/>
  <c r="G34" i="10"/>
  <c r="D34" i="10"/>
  <c r="H34" i="10" s="1"/>
  <c r="L33" i="10"/>
  <c r="E33" i="10"/>
  <c r="G33" i="10"/>
  <c r="D33" i="10"/>
  <c r="E32" i="10"/>
  <c r="G32" i="10"/>
  <c r="D32" i="10"/>
  <c r="L29" i="10"/>
  <c r="E29" i="10"/>
  <c r="G29" i="10"/>
  <c r="D29" i="10"/>
  <c r="D24" i="10"/>
  <c r="E12" i="10"/>
  <c r="G12" i="10"/>
  <c r="D12" i="10"/>
  <c r="G8" i="10"/>
  <c r="I8" i="10" s="1"/>
  <c r="G11" i="10"/>
  <c r="G16" i="10"/>
  <c r="L16" i="10"/>
  <c r="E16" i="10"/>
  <c r="D16" i="10"/>
  <c r="E11" i="10"/>
  <c r="D11" i="10"/>
  <c r="L8" i="10"/>
  <c r="E8" i="10"/>
  <c r="D8" i="10"/>
  <c r="H20" i="2"/>
  <c r="J20" i="2"/>
  <c r="N20" i="2" s="1"/>
  <c r="G15" i="2"/>
  <c r="H13" i="2"/>
  <c r="J13" i="2" s="1"/>
  <c r="G25" i="2"/>
  <c r="H22" i="2"/>
  <c r="J22" i="2"/>
  <c r="O22" i="2" s="1"/>
  <c r="E15" i="2"/>
  <c r="D15" i="2"/>
  <c r="D27" i="2" s="1"/>
  <c r="E25" i="2"/>
  <c r="E27" i="2" s="1"/>
  <c r="D25" i="2"/>
  <c r="E7" i="5"/>
  <c r="E23" i="3" s="1"/>
  <c r="E24" i="3" s="1"/>
  <c r="H28" i="3"/>
  <c r="A13" i="9"/>
  <c r="A3" i="9"/>
  <c r="G16" i="8"/>
  <c r="D16" i="8"/>
  <c r="C16" i="8"/>
  <c r="E14" i="8"/>
  <c r="E13" i="8"/>
  <c r="A3" i="8"/>
  <c r="A3" i="7"/>
  <c r="A3" i="6"/>
  <c r="A19" i="8"/>
  <c r="D9" i="8"/>
  <c r="G9" i="8"/>
  <c r="A16" i="7"/>
  <c r="D16" i="7"/>
  <c r="B7" i="7"/>
  <c r="B8" i="7"/>
  <c r="B9" i="7"/>
  <c r="B10" i="7"/>
  <c r="B15" i="7"/>
  <c r="B6" i="7"/>
  <c r="A18" i="7"/>
  <c r="G16" i="7"/>
  <c r="C10" i="9"/>
  <c r="D10" i="9"/>
  <c r="A15" i="6"/>
  <c r="A14" i="5"/>
  <c r="F10" i="3"/>
  <c r="C6" i="7"/>
  <c r="E28" i="3"/>
  <c r="D28" i="3"/>
  <c r="F27" i="3"/>
  <c r="F28" i="3" s="1"/>
  <c r="F22" i="3"/>
  <c r="H19" i="3"/>
  <c r="E19" i="3"/>
  <c r="F13" i="3"/>
  <c r="F12" i="3"/>
  <c r="F11" i="3"/>
  <c r="F9" i="3"/>
  <c r="I25" i="2"/>
  <c r="I15" i="2"/>
  <c r="D19" i="3"/>
  <c r="B8" i="5"/>
  <c r="C97" i="15"/>
  <c r="C88" i="16"/>
  <c r="I91" i="16"/>
  <c r="C99" i="15"/>
  <c r="B98" i="15"/>
  <c r="B92" i="16"/>
  <c r="I104" i="15"/>
  <c r="H56" i="15"/>
  <c r="H53" i="16"/>
  <c r="E16" i="8" l="1"/>
  <c r="E27" i="16"/>
  <c r="E37" i="16" s="1"/>
  <c r="E39" i="16" s="1"/>
  <c r="E30" i="15"/>
  <c r="E40" i="15" s="1"/>
  <c r="E42" i="15" s="1"/>
  <c r="D116" i="16"/>
  <c r="E8" i="15"/>
  <c r="E18" i="15" s="1"/>
  <c r="E6" i="16"/>
  <c r="E16" i="16" s="1"/>
  <c r="E42" i="16" s="1"/>
  <c r="I18" i="10"/>
  <c r="I25" i="10" s="1"/>
  <c r="H103" i="15"/>
  <c r="H96" i="16"/>
  <c r="B104" i="15"/>
  <c r="H102" i="15"/>
  <c r="H95" i="16"/>
  <c r="H101" i="15"/>
  <c r="H94" i="16"/>
  <c r="E8" i="7"/>
  <c r="I8" i="7" s="1"/>
  <c r="E9" i="7"/>
  <c r="I9" i="7" s="1"/>
  <c r="E118" i="15"/>
  <c r="D125" i="15"/>
  <c r="E49" i="16"/>
  <c r="F83" i="15"/>
  <c r="F85" i="15" s="1"/>
  <c r="H109" i="16"/>
  <c r="G27" i="2"/>
  <c r="I27" i="2"/>
  <c r="E35" i="3" s="1"/>
  <c r="H118" i="15"/>
  <c r="H134" i="16"/>
  <c r="H121" i="15"/>
  <c r="H116" i="16"/>
  <c r="E23" i="16"/>
  <c r="E40" i="16" s="1"/>
  <c r="E125" i="15"/>
  <c r="F123" i="15"/>
  <c r="F122" i="15"/>
  <c r="H125" i="15"/>
  <c r="E25" i="15"/>
  <c r="E43" i="15" s="1"/>
  <c r="F51" i="16"/>
  <c r="J34" i="10"/>
  <c r="D31" i="16"/>
  <c r="F31" i="16" s="1"/>
  <c r="G40" i="10"/>
  <c r="G42" i="10" s="1"/>
  <c r="E40" i="10"/>
  <c r="E42" i="10" s="1"/>
  <c r="D18" i="10"/>
  <c r="D25" i="10" s="1"/>
  <c r="D43" i="10" s="1"/>
  <c r="E18" i="10"/>
  <c r="E45" i="10" s="1"/>
  <c r="G18" i="10"/>
  <c r="G25" i="10" s="1"/>
  <c r="G43" i="10" s="1"/>
  <c r="N13" i="2"/>
  <c r="O13" i="2"/>
  <c r="H39" i="10"/>
  <c r="D39" i="15" s="1"/>
  <c r="F39" i="15" s="1"/>
  <c r="H33" i="10"/>
  <c r="D33" i="15" s="1"/>
  <c r="F33" i="15" s="1"/>
  <c r="D40" i="10"/>
  <c r="D42" i="10" s="1"/>
  <c r="N22" i="2"/>
  <c r="D34" i="15"/>
  <c r="F34" i="15" s="1"/>
  <c r="N34" i="10"/>
  <c r="L11" i="10"/>
  <c r="L18" i="10" s="1"/>
  <c r="H8" i="15"/>
  <c r="H18" i="15" s="1"/>
  <c r="H25" i="15" s="1"/>
  <c r="H43" i="15" s="1"/>
  <c r="H14" i="16"/>
  <c r="H16" i="16" s="1"/>
  <c r="L25" i="2"/>
  <c r="L32" i="10"/>
  <c r="L40" i="10" s="1"/>
  <c r="L42" i="10" s="1"/>
  <c r="H27" i="16"/>
  <c r="L15" i="2"/>
  <c r="H31" i="16"/>
  <c r="F113" i="16"/>
  <c r="F114" i="16"/>
  <c r="E109" i="16"/>
  <c r="E116" i="16"/>
  <c r="C96" i="15"/>
  <c r="C98" i="15"/>
  <c r="E98" i="16"/>
  <c r="E105" i="15"/>
  <c r="E15" i="14"/>
  <c r="F97" i="16" s="1"/>
  <c r="E15" i="7"/>
  <c r="I15" i="7" s="1"/>
  <c r="C97" i="16"/>
  <c r="A16" i="14"/>
  <c r="H53" i="15"/>
  <c r="F90" i="16"/>
  <c r="F97" i="15"/>
  <c r="E10" i="7"/>
  <c r="I10" i="7" s="1"/>
  <c r="I90" i="16"/>
  <c r="E11" i="7"/>
  <c r="I11" i="7" s="1"/>
  <c r="I95" i="15"/>
  <c r="I89" i="16"/>
  <c r="B95" i="15"/>
  <c r="I92" i="16"/>
  <c r="E30" i="3"/>
  <c r="B89" i="16"/>
  <c r="E7" i="14"/>
  <c r="F96" i="15" s="1"/>
  <c r="F91" i="16"/>
  <c r="F98" i="15"/>
  <c r="F19" i="3"/>
  <c r="F8" i="14"/>
  <c r="H39" i="15"/>
  <c r="H40" i="15" s="1"/>
  <c r="O20" i="2"/>
  <c r="O34" i="10"/>
  <c r="E6" i="14"/>
  <c r="C16" i="7"/>
  <c r="E6" i="7"/>
  <c r="J9" i="14"/>
  <c r="H91" i="16"/>
  <c r="H98" i="15"/>
  <c r="F100" i="15"/>
  <c r="F11" i="14"/>
  <c r="F93" i="16"/>
  <c r="F99" i="15"/>
  <c r="F92" i="16"/>
  <c r="F10" i="14"/>
  <c r="F79" i="16"/>
  <c r="F81" i="16" s="1"/>
  <c r="D85" i="15"/>
  <c r="B97" i="15"/>
  <c r="H105" i="16"/>
  <c r="D7" i="12"/>
  <c r="B10" i="6"/>
  <c r="C93" i="16"/>
  <c r="H135" i="16"/>
  <c r="H139" i="16" s="1"/>
  <c r="B93" i="16"/>
  <c r="J21" i="2"/>
  <c r="E45" i="15"/>
  <c r="I100" i="15"/>
  <c r="D54" i="15"/>
  <c r="F54" i="15" s="1"/>
  <c r="F10" i="9"/>
  <c r="H16" i="14"/>
  <c r="I45" i="10" l="1"/>
  <c r="F125" i="15"/>
  <c r="C6" i="6"/>
  <c r="C13" i="6" s="1"/>
  <c r="E36" i="3"/>
  <c r="L25" i="10"/>
  <c r="L43" i="10" s="1"/>
  <c r="L45" i="10"/>
  <c r="C105" i="15"/>
  <c r="C98" i="16"/>
  <c r="H37" i="16"/>
  <c r="H39" i="16" s="1"/>
  <c r="E25" i="10"/>
  <c r="E43" i="10" s="1"/>
  <c r="G45" i="10"/>
  <c r="J33" i="10"/>
  <c r="J39" i="10"/>
  <c r="O39" i="10" s="1"/>
  <c r="D30" i="16"/>
  <c r="F30" i="16" s="1"/>
  <c r="D36" i="16"/>
  <c r="F36" i="16" s="1"/>
  <c r="L27" i="2"/>
  <c r="D45" i="10"/>
  <c r="H42" i="15"/>
  <c r="H45" i="15"/>
  <c r="H23" i="16"/>
  <c r="H40" i="16" s="1"/>
  <c r="F116" i="16"/>
  <c r="F15" i="14"/>
  <c r="F104" i="15"/>
  <c r="I98" i="16"/>
  <c r="I105" i="15"/>
  <c r="E37" i="3"/>
  <c r="F89" i="16"/>
  <c r="F7" i="14"/>
  <c r="H97" i="15"/>
  <c r="J8" i="14"/>
  <c r="H90" i="16"/>
  <c r="O33" i="10"/>
  <c r="N33" i="10"/>
  <c r="H100" i="15"/>
  <c r="H93" i="16"/>
  <c r="D10" i="6"/>
  <c r="B9" i="12"/>
  <c r="J15" i="14"/>
  <c r="H104" i="15"/>
  <c r="H97" i="16"/>
  <c r="E16" i="14"/>
  <c r="F88" i="16"/>
  <c r="F6" i="14"/>
  <c r="F95" i="15"/>
  <c r="C6" i="12"/>
  <c r="C12" i="12" s="1"/>
  <c r="E16" i="7"/>
  <c r="I6" i="7"/>
  <c r="I16" i="7" s="1"/>
  <c r="H99" i="15"/>
  <c r="H92" i="16"/>
  <c r="J10" i="14"/>
  <c r="O21" i="2"/>
  <c r="N21" i="2"/>
  <c r="H42" i="16" l="1"/>
  <c r="F105" i="15"/>
  <c r="N39" i="10"/>
  <c r="F98" i="16"/>
  <c r="H89" i="16"/>
  <c r="H96" i="15"/>
  <c r="J7" i="14"/>
  <c r="E50" i="16"/>
  <c r="E56" i="16" s="1"/>
  <c r="E53" i="15"/>
  <c r="E59" i="15" s="1"/>
  <c r="D9" i="12"/>
  <c r="D56" i="15"/>
  <c r="F56" i="15" s="1"/>
  <c r="D53" i="16"/>
  <c r="F53" i="16" s="1"/>
  <c r="J6" i="14"/>
  <c r="J16" i="14" s="1"/>
  <c r="H95" i="15"/>
  <c r="H105" i="15" s="1"/>
  <c r="F16" i="14"/>
  <c r="H88" i="16"/>
  <c r="H98" i="16" s="1"/>
  <c r="F5" i="12" l="1"/>
  <c r="F12" i="12" s="1"/>
  <c r="H23" i="3" l="1"/>
  <c r="H24" i="3" s="1"/>
  <c r="H30" i="3" s="1"/>
  <c r="H33" i="3" s="1"/>
  <c r="B5" i="6"/>
  <c r="H49" i="16"/>
  <c r="H56" i="16" s="1"/>
  <c r="H52" i="15"/>
  <c r="H59" i="15" s="1"/>
  <c r="D5" i="6" l="1"/>
  <c r="B5" i="12"/>
  <c r="F49" i="16" l="1"/>
  <c r="D52" i="15"/>
  <c r="F52" i="15" s="1"/>
  <c r="D5" i="12"/>
  <c r="C8" i="5" l="1"/>
  <c r="E6" i="5" l="1"/>
  <c r="D23" i="3" l="1"/>
  <c r="E8" i="5"/>
  <c r="F23" i="3" l="1"/>
  <c r="F24" i="3" s="1"/>
  <c r="F30" i="3" s="1"/>
  <c r="D24" i="3"/>
  <c r="D30" i="3" s="1"/>
  <c r="H11" i="2" l="1"/>
  <c r="J11" i="2" s="1"/>
  <c r="F13" i="10"/>
  <c r="F8" i="10"/>
  <c r="H9" i="2"/>
  <c r="J9" i="2" s="1"/>
  <c r="H23" i="2"/>
  <c r="J23" i="2" s="1"/>
  <c r="F29" i="10"/>
  <c r="H10" i="2"/>
  <c r="F11" i="10"/>
  <c r="N11" i="2"/>
  <c r="O11" i="2"/>
  <c r="H24" i="2"/>
  <c r="J24" i="2" s="1"/>
  <c r="F38" i="10"/>
  <c r="H38" i="10" s="1"/>
  <c r="F12" i="10"/>
  <c r="J13" i="10" l="1"/>
  <c r="D11" i="16"/>
  <c r="F11" i="16" s="1"/>
  <c r="D13" i="15"/>
  <c r="F13" i="15" s="1"/>
  <c r="F30" i="10"/>
  <c r="H30" i="10" s="1"/>
  <c r="H19" i="2"/>
  <c r="J19" i="2" s="1"/>
  <c r="D9" i="16"/>
  <c r="F9" i="16" s="1"/>
  <c r="D11" i="15"/>
  <c r="F11" i="15" s="1"/>
  <c r="J11" i="10"/>
  <c r="H29" i="10"/>
  <c r="C6" i="8"/>
  <c r="H14" i="2"/>
  <c r="J14" i="2" s="1"/>
  <c r="J38" i="10"/>
  <c r="D38" i="15"/>
  <c r="F38" i="15" s="1"/>
  <c r="D35" i="16"/>
  <c r="F35" i="16" s="1"/>
  <c r="O24" i="2"/>
  <c r="N24" i="2"/>
  <c r="C8" i="8"/>
  <c r="J10" i="2"/>
  <c r="N23" i="2"/>
  <c r="O23" i="2"/>
  <c r="F25" i="2"/>
  <c r="O13" i="10" l="1"/>
  <c r="N13" i="10"/>
  <c r="J12" i="10"/>
  <c r="D10" i="16"/>
  <c r="F10" i="16" s="1"/>
  <c r="D12" i="15"/>
  <c r="F12" i="15" s="1"/>
  <c r="N38" i="10"/>
  <c r="O38" i="10"/>
  <c r="O14" i="2"/>
  <c r="N14" i="2"/>
  <c r="D8" i="15"/>
  <c r="D6" i="16"/>
  <c r="J8" i="10"/>
  <c r="D26" i="16"/>
  <c r="D29" i="15"/>
  <c r="J29" i="10"/>
  <c r="E6" i="8"/>
  <c r="D106" i="16"/>
  <c r="D115" i="15"/>
  <c r="N11" i="10"/>
  <c r="O11" i="10"/>
  <c r="O10" i="2"/>
  <c r="N10" i="2"/>
  <c r="N19" i="2"/>
  <c r="O19" i="2"/>
  <c r="H18" i="2"/>
  <c r="F32" i="10"/>
  <c r="N9" i="2"/>
  <c r="O9" i="2"/>
  <c r="E8" i="8"/>
  <c r="D108" i="16"/>
  <c r="F108" i="16" s="1"/>
  <c r="D117" i="15"/>
  <c r="F117" i="15" s="1"/>
  <c r="D30" i="15"/>
  <c r="F30" i="15" s="1"/>
  <c r="J30" i="10"/>
  <c r="D27" i="16"/>
  <c r="F27" i="16" s="1"/>
  <c r="F26" i="16" l="1"/>
  <c r="H32" i="10"/>
  <c r="F40" i="10"/>
  <c r="F42" i="10" s="1"/>
  <c r="F6" i="16"/>
  <c r="O8" i="10"/>
  <c r="N8" i="10"/>
  <c r="F8" i="15"/>
  <c r="N30" i="10"/>
  <c r="O30" i="10"/>
  <c r="F29" i="15"/>
  <c r="F115" i="15"/>
  <c r="O29" i="10"/>
  <c r="N29" i="10"/>
  <c r="J18" i="2"/>
  <c r="H25" i="2"/>
  <c r="F106" i="16"/>
  <c r="N12" i="10"/>
  <c r="O12" i="10"/>
  <c r="D29" i="16" l="1"/>
  <c r="J32" i="10"/>
  <c r="D32" i="15"/>
  <c r="H40" i="10"/>
  <c r="H42" i="10" s="1"/>
  <c r="J25" i="2"/>
  <c r="O25" i="2" s="1"/>
  <c r="O18" i="2"/>
  <c r="N18" i="2"/>
  <c r="N25" i="2" s="1"/>
  <c r="F15" i="2"/>
  <c r="F27" i="2" s="1"/>
  <c r="F16" i="10" l="1"/>
  <c r="J16" i="10" s="1"/>
  <c r="H8" i="2"/>
  <c r="F29" i="16"/>
  <c r="F37" i="16" s="1"/>
  <c r="F39" i="16" s="1"/>
  <c r="D37" i="16"/>
  <c r="D39" i="16" s="1"/>
  <c r="F32" i="15"/>
  <c r="F40" i="15" s="1"/>
  <c r="F42" i="15" s="1"/>
  <c r="D40" i="15"/>
  <c r="D42" i="15" s="1"/>
  <c r="N32" i="10"/>
  <c r="N40" i="10" s="1"/>
  <c r="N42" i="10" s="1"/>
  <c r="O32" i="10"/>
  <c r="J40" i="10"/>
  <c r="J42" i="10" l="1"/>
  <c r="O42" i="10" s="1"/>
  <c r="O40" i="10"/>
  <c r="J8" i="2"/>
  <c r="C7" i="8"/>
  <c r="H15" i="2"/>
  <c r="H27" i="2" s="1"/>
  <c r="D35" i="3" s="1"/>
  <c r="F18" i="10"/>
  <c r="F35" i="3" l="1"/>
  <c r="B6" i="6"/>
  <c r="B13" i="6" s="1"/>
  <c r="D14" i="16"/>
  <c r="D16" i="15"/>
  <c r="F16" i="15" s="1"/>
  <c r="H18" i="10"/>
  <c r="N8" i="2"/>
  <c r="N15" i="2" s="1"/>
  <c r="O8" i="2"/>
  <c r="J15" i="2"/>
  <c r="F25" i="10"/>
  <c r="F43" i="10" s="1"/>
  <c r="F45" i="10"/>
  <c r="D107" i="16"/>
  <c r="D116" i="15"/>
  <c r="E7" i="8"/>
  <c r="E9" i="8" s="1"/>
  <c r="C9" i="8"/>
  <c r="J27" i="2" l="1"/>
  <c r="O15" i="2"/>
  <c r="F18" i="15"/>
  <c r="D18" i="15"/>
  <c r="O16" i="10"/>
  <c r="N16" i="10"/>
  <c r="N18" i="10" s="1"/>
  <c r="N25" i="10" s="1"/>
  <c r="N43" i="10" s="1"/>
  <c r="J18" i="10"/>
  <c r="F107" i="16"/>
  <c r="F109" i="16" s="1"/>
  <c r="D109" i="16"/>
  <c r="F14" i="16"/>
  <c r="F16" i="16" s="1"/>
  <c r="D16" i="16"/>
  <c r="B6" i="12"/>
  <c r="B12" i="12" s="1"/>
  <c r="D6" i="6"/>
  <c r="F116" i="15"/>
  <c r="F118" i="15" s="1"/>
  <c r="D118" i="15"/>
  <c r="H45" i="10"/>
  <c r="H25" i="10"/>
  <c r="H43" i="10" s="1"/>
  <c r="D25" i="15" l="1"/>
  <c r="D43" i="15" s="1"/>
  <c r="D45" i="15"/>
  <c r="D53" i="15"/>
  <c r="D59" i="15" s="1"/>
  <c r="D50" i="16"/>
  <c r="D56" i="16" s="1"/>
  <c r="D6" i="12"/>
  <c r="D12" i="12" s="1"/>
  <c r="O18" i="10"/>
  <c r="J45" i="10"/>
  <c r="J25" i="10"/>
  <c r="F42" i="16"/>
  <c r="F23" i="16"/>
  <c r="F40" i="16" s="1"/>
  <c r="D23" i="16"/>
  <c r="D40" i="16" s="1"/>
  <c r="D42" i="16"/>
  <c r="F25" i="15"/>
  <c r="F43" i="15" s="1"/>
  <c r="F45" i="15"/>
  <c r="N27" i="2"/>
  <c r="O27" i="2"/>
  <c r="N45" i="10" l="1"/>
  <c r="O45" i="10"/>
  <c r="F53" i="15"/>
  <c r="F59" i="15" s="1"/>
  <c r="O25" i="10"/>
  <c r="J43" i="10"/>
  <c r="O43" i="10" s="1"/>
  <c r="F50" i="16"/>
  <c r="F56" i="16" s="1"/>
  <c r="H36" i="3" l="1"/>
  <c r="H37" i="3" s="1"/>
  <c r="D33" i="3" l="1"/>
  <c r="F33" i="3" l="1"/>
  <c r="F36" i="3" s="1"/>
  <c r="F37" i="3" s="1"/>
  <c r="D36" i="3"/>
  <c r="D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D20" authorId="0" shapeId="0" xr:uid="{B7B94B2C-E7A1-45D5-978B-F4C1F55B6A23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Photocopying,
postage and telephone,
stationery,
event costs,
travel,
sundry purchases,
meeting,
website.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B8" authorId="0" shapeId="0" xr:uid="{E195C7E2-7E3E-4E97-9B52-EF2056E54330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Balance at year end. Take from BANKS Consoildated</t>
        </r>
      </text>
    </comment>
    <comment ref="B12" authorId="0" shapeId="0" xr:uid="{2E924020-6435-49E7-B57D-2C6E2360567B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Balance at year end. Take from BANKS Consoildated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C12" authorId="0" shapeId="0" xr:uid="{6DACF38B-D12E-46B1-9E8E-96F7C7671207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An analysis is made of the restricted funds from fundraising.
Treasurer\2024_2025\Sundry\Grant_awards\[Restricted_funds_analysis_of_fundraising_2024_2025.xlsx]Total receipts and payments
This is the balance of the restricted funds.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B5" authorId="0" shapeId="0" xr:uid="{65940775-B39B-42F3-8BA5-C6A91AC1E2C3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Bank interest in the year.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I6" authorId="0" shapeId="0" xr:uid="{DBDA5DBD-9583-458A-A930-DA9229C6C903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Charge in Income and Expenditure Statement.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J6" authorId="0" shapeId="0" xr:uid="{2B45C71D-A7DC-4909-B712-0EF6E389F119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Charge in Income and Expenditure Statement.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tc={295B6EBB-F299-4700-9C1B-B31CA0D606E6}</author>
  </authors>
  <commentList>
    <comment ref="C14" authorId="0" shapeId="0" xr:uid="{295B6EBB-F299-4700-9C1B-B31CA0D606E6}">
      <text>
        <t>[Threaded comment]
Your version of Excel allows you to read this threaded comment; however, any edits to it will get removed if the file is opened in a newer version of Excel. Learn more: https://go.microsoft.com/fwlink/?linkid=870924
Comment:
    Insurance was paid twice during the year.
The insurance for season 2024/2025 was paid after the year end, due to our cheque bouncing. 03/12/2024.
The second payment of £ 465.92 paid on the 23/10/2025 is insurance for 2025/2025.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Thomas Bate</author>
  </authors>
  <commentList>
    <comment ref="F11" authorId="0" shapeId="0" xr:uid="{86DA1EDB-1374-47D2-AC95-9D044088CD51}">
      <text>
        <r>
          <rPr>
            <b/>
            <sz val="9"/>
            <color indexed="81"/>
            <rFont val="Tahoma"/>
            <family val="2"/>
          </rPr>
          <t>Stephen Thomas Bate:</t>
        </r>
        <r>
          <rPr>
            <sz val="9"/>
            <color indexed="81"/>
            <rFont val="Tahoma"/>
            <family val="2"/>
          </rPr>
          <t xml:space="preserve">
An analysis is made of the restricted funds from fundraising.
Treasurer\2024_2025\Sundry\Grant_awards\[Restricted_funds_analysis_of_fundraising_2024_2025.xlsx]Total receipts and payments
</t>
        </r>
      </text>
    </comment>
  </commentList>
</comments>
</file>

<file path=xl/sharedStrings.xml><?xml version="1.0" encoding="utf-8"?>
<sst xmlns="http://schemas.openxmlformats.org/spreadsheetml/2006/main" count="531" uniqueCount="173">
  <si>
    <t>£</t>
  </si>
  <si>
    <t>Income</t>
  </si>
  <si>
    <t>Memberships</t>
  </si>
  <si>
    <t>Unrestricted Funnds</t>
  </si>
  <si>
    <t>Restricted Funds</t>
  </si>
  <si>
    <t>Donations</t>
  </si>
  <si>
    <t>Fundraising</t>
  </si>
  <si>
    <t>Bank interest</t>
  </si>
  <si>
    <t>Trading</t>
  </si>
  <si>
    <t>Total</t>
  </si>
  <si>
    <t>Total Income</t>
  </si>
  <si>
    <t>Less: Expenditure</t>
  </si>
  <si>
    <t>Charitable Activities</t>
  </si>
  <si>
    <t>Governance</t>
  </si>
  <si>
    <t>Grants</t>
  </si>
  <si>
    <t>Defecit for the Year</t>
  </si>
  <si>
    <t>Others</t>
  </si>
  <si>
    <t>Fixed Assets</t>
  </si>
  <si>
    <t>Challenger Dinghies</t>
  </si>
  <si>
    <t>Launch trolleys</t>
  </si>
  <si>
    <t>Double trailers</t>
  </si>
  <si>
    <t>Single trailers</t>
  </si>
  <si>
    <t>National Squib Keel boats (and trailers)</t>
  </si>
  <si>
    <t>2.4mR Keelboats</t>
  </si>
  <si>
    <t>Current Assets</t>
  </si>
  <si>
    <t>Less: Current Liabilities</t>
  </si>
  <si>
    <t>Total Fixed Assets</t>
  </si>
  <si>
    <t>Debtors</t>
  </si>
  <si>
    <t>Cash at Bank</t>
  </si>
  <si>
    <t>Total Current Assets</t>
  </si>
  <si>
    <t>Creditors</t>
  </si>
  <si>
    <t>Net Assets</t>
  </si>
  <si>
    <t>Total Current Liabilities</t>
  </si>
  <si>
    <t>Add: Surplus/Defecit for the year</t>
  </si>
  <si>
    <t>Financed by:</t>
  </si>
  <si>
    <t>Fleet revaluation charge</t>
  </si>
  <si>
    <t>Bank of Scotland</t>
  </si>
  <si>
    <t>Royal Bank of Scotland</t>
  </si>
  <si>
    <t>Sailability Scotland</t>
  </si>
  <si>
    <t>%</t>
  </si>
  <si>
    <t>Unrestricted Funds</t>
  </si>
  <si>
    <t>Insurance Claims</t>
  </si>
  <si>
    <t>Cash and Bank Balances at Start of Year</t>
  </si>
  <si>
    <t>Surplus/Defecit shown on Income and Expenditure Statement</t>
  </si>
  <si>
    <t>Cash and Bank Balances at End of Year</t>
  </si>
  <si>
    <t>Non-Cash items</t>
  </si>
  <si>
    <t>Notes to Accounts:</t>
  </si>
  <si>
    <t>Class</t>
  </si>
  <si>
    <t>Qty.</t>
  </si>
  <si>
    <t>1. Donations</t>
  </si>
  <si>
    <t>Personal</t>
  </si>
  <si>
    <t>Membership fees</t>
  </si>
  <si>
    <t>2. Payments relating directly to Charitable Activities</t>
  </si>
  <si>
    <t>Public Liability Insurance</t>
  </si>
  <si>
    <t>Dinghy Insurance</t>
  </si>
  <si>
    <t>Travel</t>
  </si>
  <si>
    <t>Stationery/Printing/Postage/Phone</t>
  </si>
  <si>
    <t>Number of Trustees</t>
  </si>
  <si>
    <t>Non-bank items/Adjustements</t>
  </si>
  <si>
    <t>Legacies</t>
  </si>
  <si>
    <t>Income from Investments other than
 Land or Buildings</t>
  </si>
  <si>
    <t>Rent from Land or Buildings</t>
  </si>
  <si>
    <t>Receipts from Fundraising activities</t>
  </si>
  <si>
    <t>Gross Trading Receipts</t>
  </si>
  <si>
    <t>A1 Receipts</t>
  </si>
  <si>
    <t>A2 Receipts from Asset &amp; Investment Sales</t>
  </si>
  <si>
    <t>Proceeds from sale of fixed assets</t>
  </si>
  <si>
    <t>Proceeds from sale of Investments</t>
  </si>
  <si>
    <t>A1 Sub Total</t>
  </si>
  <si>
    <t>A2 Sub Total</t>
  </si>
  <si>
    <t>A3 Payments</t>
  </si>
  <si>
    <t>Expenses for Fundraising Activities</t>
  </si>
  <si>
    <t>Gross Trading Payments</t>
  </si>
  <si>
    <t>Investment Management Costs</t>
  </si>
  <si>
    <t>Payments relating to Charitable Activities</t>
  </si>
  <si>
    <t>Grants and donations</t>
  </si>
  <si>
    <t>Audit/Independent examination</t>
  </si>
  <si>
    <t>Preparation of Annual Accounts</t>
  </si>
  <si>
    <t>Legal costs</t>
  </si>
  <si>
    <t>Other costs</t>
  </si>
  <si>
    <t>A3 Sub Total</t>
  </si>
  <si>
    <t>Total Payments</t>
  </si>
  <si>
    <t>Net Reciepts / Payments</t>
  </si>
  <si>
    <t>Total Receipts</t>
  </si>
  <si>
    <t>Surplus/Defecit for Year</t>
  </si>
  <si>
    <t>Total Funds Current Period</t>
  </si>
  <si>
    <t>Total Funds Last Period</t>
  </si>
  <si>
    <t>Total Current Period</t>
  </si>
  <si>
    <t>Total Last Period</t>
  </si>
  <si>
    <t>Non-Cash items: Fleet revaluation charge</t>
  </si>
  <si>
    <t>Deposit Accounts</t>
  </si>
  <si>
    <t>Last Year</t>
  </si>
  <si>
    <t>Current Value (if available)</t>
  </si>
  <si>
    <t>Cost (if available)</t>
  </si>
  <si>
    <t>Funds to which assets belong</t>
  </si>
  <si>
    <t>Unrestricted</t>
  </si>
  <si>
    <t>B1 Cash Funds</t>
  </si>
  <si>
    <t>B2 Investments</t>
  </si>
  <si>
    <t>B3</t>
  </si>
  <si>
    <t>Analysis of Receipts&amp;Payments</t>
  </si>
  <si>
    <t>C4b Trustee Expenses</t>
  </si>
  <si>
    <t>Trustee Declaration</t>
  </si>
  <si>
    <t>These accounts were presented at the Annual General Meeting and accepted by the Members and Trustees.</t>
  </si>
  <si>
    <t>Consolidated BOS and RBS</t>
  </si>
  <si>
    <t>Consolidated Bank Accounts</t>
  </si>
  <si>
    <t>Year From</t>
  </si>
  <si>
    <t>Full year accounts for Sailability Scotland</t>
  </si>
  <si>
    <t>Signed:</t>
  </si>
  <si>
    <t>Date:</t>
  </si>
  <si>
    <t>Fixed Asset Purchases</t>
  </si>
  <si>
    <t>Sponsorship/fundraising</t>
  </si>
  <si>
    <t>Sailability Scotland SCIO</t>
  </si>
  <si>
    <t>Name of organisation</t>
  </si>
  <si>
    <t>Charity Number</t>
  </si>
  <si>
    <t>SC047162</t>
  </si>
  <si>
    <t>Date of Treasurer Signature</t>
  </si>
  <si>
    <t>Outboard motor</t>
  </si>
  <si>
    <t>Virus keelboat</t>
  </si>
  <si>
    <t>Virus trailer</t>
  </si>
  <si>
    <t>Royal Bank of Scotland Reserve</t>
  </si>
  <si>
    <t>Royal Bank of Scotland Current</t>
  </si>
  <si>
    <t>Trustee</t>
  </si>
  <si>
    <t>Duncan Greenhalgh</t>
  </si>
  <si>
    <t>Boat maintenance</t>
  </si>
  <si>
    <t>Date</t>
  </si>
  <si>
    <t>Bank</t>
  </si>
  <si>
    <t>RBS Current</t>
  </si>
  <si>
    <t>Reason</t>
  </si>
  <si>
    <t>Amount</t>
  </si>
  <si>
    <t>John McPartlin</t>
  </si>
  <si>
    <t>Fleet maintenance costs</t>
  </si>
  <si>
    <t>Event costs</t>
  </si>
  <si>
    <t>Check. Should be zero</t>
  </si>
  <si>
    <t>Other</t>
  </si>
  <si>
    <t>C3b Trustee Renumeration details</t>
  </si>
  <si>
    <t>None</t>
  </si>
  <si>
    <t>Type of activity supported</t>
  </si>
  <si>
    <t>Individual/Institution</t>
  </si>
  <si>
    <t>Number of grants made</t>
  </si>
  <si>
    <t>SOCC-Scottish Open challenger Championships</t>
  </si>
  <si>
    <t>Hugh Campbell</t>
  </si>
  <si>
    <t>Thomas Tunnuck Limited</t>
  </si>
  <si>
    <t>C2 Grants</t>
  </si>
  <si>
    <t>1. Receipts</t>
  </si>
  <si>
    <t>Receipts and Payments Account</t>
  </si>
  <si>
    <t>Balances B/D</t>
  </si>
  <si>
    <t>Surpulus/deficit in year</t>
  </si>
  <si>
    <t>PayPal</t>
  </si>
  <si>
    <t>Prior year adjustment</t>
  </si>
  <si>
    <t>Unrestricted funds</t>
  </si>
  <si>
    <t>Restricted funds</t>
  </si>
  <si>
    <t>Amazon Smile</t>
  </si>
  <si>
    <t>EasyFundraising</t>
  </si>
  <si>
    <t>Regatta fees</t>
  </si>
  <si>
    <t>Receits for dinghy hire</t>
  </si>
  <si>
    <t>Analysis of Gross Trading Receipts</t>
  </si>
  <si>
    <t>Receipts</t>
  </si>
  <si>
    <t>Payments</t>
  </si>
  <si>
    <t>General fund</t>
  </si>
  <si>
    <t>Maintnenance/ugrade of fleet</t>
  </si>
  <si>
    <t>Scottish Open Challenger Championship</t>
  </si>
  <si>
    <t>Sailor regatta entry fees support</t>
  </si>
  <si>
    <t>Transfer to restricted funds</t>
  </si>
  <si>
    <t>Revaluation of fleet</t>
  </si>
  <si>
    <t>Non cash items</t>
  </si>
  <si>
    <t>Seamanship and Pilotage Trust-Clyde Cruising Club</t>
  </si>
  <si>
    <t>Support for sailor's towing costs</t>
  </si>
  <si>
    <t>Analysis of Fundraising</t>
  </si>
  <si>
    <t>Movement of funds</t>
  </si>
  <si>
    <t>Receipts for dinghy hire</t>
  </si>
  <si>
    <t>Grant award for sailor support towards regatta entry fees. 2025.</t>
  </si>
  <si>
    <t>SOCC 2025 materials</t>
  </si>
  <si>
    <t>Towing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</si>
</sst>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£&quot;\ #,##0.00\ ;[Red]\(&quot;£&quot;\ #,##0.00\);_-* &quot;-&quot;??_-"/>
    <numFmt numFmtId="165" formatCode="#,##0.00\ ;[Red]\(#,##0.00\);_-* &quot;-&quot;??_-"/>
    <numFmt numFmtId="166" formatCode="#,##0%\ \ ;[Red]\(#,##0%\);_-* &quot;-&quot;??_-"/>
    <numFmt numFmtId="167" formatCode="#,##0\ ;[Red]\(#,##0\);_-* &quot;-&quot;??_-"/>
    <numFmt numFmtId="168" formatCode="###0\ ;[Red]\(###0\)"/>
    <numFmt numFmtId="169" formatCode="#,##0.00;[Red]#,##0.00"/>
    <numFmt numFmtId="170" formatCode="&quot;£&quot;\ #,##0\ ;[Red]\(&quot;£&quot;\ #,##0\);_-* &quot;-&quot;??_-"/>
    <numFmt numFmtId="171" formatCode="&quot;£&quot;#,##0.00;[Red]&quot;£&quot;#,##0.00"/>
    <numFmt numFmtId="172" formatCode="dddd\ dd\ mmmm\ yyyy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3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" wrapText="1"/>
    </xf>
    <xf numFmtId="164" fontId="0" fillId="0" borderId="0" xfId="0" applyNumberFormat="1"/>
    <xf numFmtId="164" fontId="3" fillId="0" borderId="1" xfId="0" applyNumberFormat="1" applyFont="1" applyBorder="1"/>
    <xf numFmtId="165" fontId="0" fillId="0" borderId="0" xfId="0" applyNumberFormat="1"/>
    <xf numFmtId="165" fontId="3" fillId="0" borderId="1" xfId="0" applyNumberFormat="1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165" fontId="3" fillId="0" borderId="2" xfId="0" applyNumberFormat="1" applyFont="1" applyBorder="1"/>
    <xf numFmtId="165" fontId="3" fillId="0" borderId="0" xfId="0" applyNumberFormat="1" applyFont="1"/>
    <xf numFmtId="14" fontId="4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6" fontId="0" fillId="0" borderId="0" xfId="0" applyNumberFormat="1"/>
    <xf numFmtId="166" fontId="3" fillId="0" borderId="0" xfId="0" applyNumberFormat="1" applyFont="1"/>
    <xf numFmtId="0" fontId="0" fillId="0" borderId="0" xfId="0" applyAlignment="1">
      <alignment wrapText="1"/>
    </xf>
    <xf numFmtId="14" fontId="10" fillId="0" borderId="0" xfId="0" applyNumberFormat="1" applyFont="1"/>
    <xf numFmtId="167" fontId="0" fillId="0" borderId="0" xfId="0" applyNumberFormat="1"/>
    <xf numFmtId="167" fontId="3" fillId="0" borderId="1" xfId="0" applyNumberFormat="1" applyFont="1" applyBorder="1"/>
    <xf numFmtId="168" fontId="0" fillId="0" borderId="0" xfId="0" applyNumberFormat="1" applyProtection="1">
      <protection locked="0"/>
    </xf>
    <xf numFmtId="167" fontId="3" fillId="0" borderId="0" xfId="0" applyNumberFormat="1" applyFont="1"/>
    <xf numFmtId="0" fontId="3" fillId="0" borderId="0" xfId="0" applyFont="1" applyAlignment="1">
      <alignment wrapText="1"/>
    </xf>
    <xf numFmtId="168" fontId="0" fillId="0" borderId="0" xfId="0" applyNumberFormat="1"/>
    <xf numFmtId="168" fontId="3" fillId="0" borderId="0" xfId="0" applyNumberFormat="1" applyFont="1"/>
    <xf numFmtId="168" fontId="7" fillId="0" borderId="0" xfId="0" applyNumberFormat="1" applyFont="1" applyAlignment="1">
      <alignment horizontal="center" wrapText="1"/>
    </xf>
    <xf numFmtId="164" fontId="3" fillId="0" borderId="0" xfId="0" applyNumberFormat="1" applyFont="1"/>
    <xf numFmtId="172" fontId="0" fillId="0" borderId="0" xfId="0" applyNumberFormat="1" applyAlignment="1">
      <alignment horizontal="left"/>
    </xf>
    <xf numFmtId="0" fontId="0" fillId="2" borderId="0" xfId="0" applyFill="1"/>
    <xf numFmtId="165" fontId="0" fillId="2" borderId="0" xfId="0" applyNumberFormat="1" applyFill="1"/>
    <xf numFmtId="169" fontId="3" fillId="0" borderId="0" xfId="0" applyNumberFormat="1" applyFont="1"/>
    <xf numFmtId="171" fontId="0" fillId="0" borderId="0" xfId="0" applyNumberFormat="1"/>
    <xf numFmtId="14" fontId="0" fillId="0" borderId="0" xfId="0" applyNumberFormat="1"/>
    <xf numFmtId="170" fontId="0" fillId="0" borderId="0" xfId="0" applyNumberFormat="1"/>
    <xf numFmtId="170" fontId="3" fillId="0" borderId="1" xfId="0" applyNumberFormat="1" applyFont="1" applyBorder="1"/>
    <xf numFmtId="167" fontId="0" fillId="3" borderId="0" xfId="0" applyNumberFormat="1" applyFill="1"/>
    <xf numFmtId="167" fontId="0" fillId="0" borderId="0" xfId="0" applyNumberFormat="1" applyAlignment="1">
      <alignment wrapText="1"/>
    </xf>
    <xf numFmtId="167" fontId="3" fillId="3" borderId="0" xfId="0" applyNumberFormat="1" applyFont="1" applyFill="1"/>
    <xf numFmtId="14" fontId="0" fillId="0" borderId="0" xfId="0" applyNumberFormat="1" applyProtection="1">
      <protection locked="0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174</xdr:row>
      <xdr:rowOff>0</xdr:rowOff>
    </xdr:from>
    <xdr:to>
      <xdr:col>1</xdr:col>
      <xdr:colOff>2314575</xdr:colOff>
      <xdr:row>177</xdr:row>
      <xdr:rowOff>142875</xdr:rowOff>
    </xdr:to>
    <xdr:pic>
      <xdr:nvPicPr>
        <xdr:cNvPr id="14353" name="Picture 1">
          <a:extLst>
            <a:ext uri="{FF2B5EF4-FFF2-40B4-BE49-F238E27FC236}">
              <a16:creationId xmlns:a16="http://schemas.microsoft.com/office/drawing/2014/main" id="{381D3A88-41CB-6455-E6F2-16DE8EFE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498800"/>
          <a:ext cx="2314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160</xdr:row>
      <xdr:rowOff>0</xdr:rowOff>
    </xdr:from>
    <xdr:to>
      <xdr:col>1</xdr:col>
      <xdr:colOff>2314575</xdr:colOff>
      <xdr:row>163</xdr:row>
      <xdr:rowOff>142875</xdr:rowOff>
    </xdr:to>
    <xdr:pic>
      <xdr:nvPicPr>
        <xdr:cNvPr id="17420" name="Picture 1">
          <a:extLst>
            <a:ext uri="{FF2B5EF4-FFF2-40B4-BE49-F238E27FC236}">
              <a16:creationId xmlns:a16="http://schemas.microsoft.com/office/drawing/2014/main" id="{40A97C55-9AE2-93AD-0A33-5FF2E15CC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79175"/>
          <a:ext cx="2314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Sport\Sailing\Sailability_Scotland\Treasurer\2024_2025\2024_2025_Accounts\2024_2025_Sailability_Scotland_BANKS_Consolidated_Ver%2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S Business Reserve"/>
      <sheetName val="RBS Bus Reserve Reconciliation"/>
      <sheetName val="PayPal"/>
      <sheetName val="PayPal Reconciliation"/>
      <sheetName val="RBS Business Current"/>
      <sheetName val="RBS Bus Curr Reconciliation"/>
      <sheetName val="Consolidated AC Reconciliation"/>
      <sheetName val="Bank balances"/>
      <sheetName val="TPL and Bank"/>
      <sheetName val="Year End Accounts"/>
      <sheetName val="Reference"/>
      <sheetName val="2024_2025_Sailability_Scotland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J35">
            <v>-324.23</v>
          </cell>
          <cell r="K35">
            <v>-1767.54</v>
          </cell>
          <cell r="L35">
            <v>1446.7699999999998</v>
          </cell>
        </row>
        <row r="37">
          <cell r="J37">
            <v>15938.130000000006</v>
          </cell>
          <cell r="K37">
            <v>1877.329999999997</v>
          </cell>
          <cell r="L37">
            <v>1322.56</v>
          </cell>
        </row>
        <row r="42">
          <cell r="J42">
            <v>15613.900000000007</v>
          </cell>
          <cell r="K42">
            <v>109.78999999999701</v>
          </cell>
          <cell r="L42">
            <v>2769.33</v>
          </cell>
        </row>
      </sheetData>
      <sheetData sheetId="8"/>
      <sheetData sheetId="9">
        <row r="7">
          <cell r="D7">
            <v>190</v>
          </cell>
        </row>
        <row r="8">
          <cell r="D8">
            <v>2300</v>
          </cell>
        </row>
        <row r="9">
          <cell r="D9">
            <v>165.96</v>
          </cell>
        </row>
        <row r="10">
          <cell r="D10">
            <v>175.77</v>
          </cell>
        </row>
        <row r="12">
          <cell r="D12">
            <v>3059.54</v>
          </cell>
        </row>
        <row r="13">
          <cell r="D13">
            <v>5891.27</v>
          </cell>
        </row>
        <row r="17">
          <cell r="C17">
            <v>3118.5</v>
          </cell>
        </row>
        <row r="18">
          <cell r="C18">
            <v>3347.26</v>
          </cell>
        </row>
        <row r="22">
          <cell r="C22">
            <v>12.41</v>
          </cell>
        </row>
        <row r="23">
          <cell r="C23">
            <v>58.1</v>
          </cell>
        </row>
        <row r="25">
          <cell r="D25">
            <v>6536.27</v>
          </cell>
        </row>
        <row r="29">
          <cell r="D29"/>
        </row>
      </sheetData>
      <sheetData sheetId="10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ephen Thomas Bate" id="{10DB28C1-2CBF-49A3-AD81-3790B7866CB3}" userId="Stephen Thomas Bat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6-01-05T19:14:18.64" personId="{10DB28C1-2CBF-49A3-AD81-3790B7866CB3}" id="{295B6EBB-F299-4700-9C1B-B31CA0D606E6}">
    <text>Insurance was paid twice during the year.
The insurance for season 2024/2025 was paid after the year end, due to our cheque bouncing. 03/12/2024.
The second payment of £ 465.92 paid on the 23/10/2025 is insurance for 2025/2025.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E546-226F-473F-A347-A72D129EDF44}">
  <sheetPr>
    <pageSetUpPr fitToPage="1"/>
  </sheetPr>
  <dimension ref="A1:I18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D12" sqref="D12"/>
    </sheetView>
  </sheetViews>
  <sheetFormatPr defaultRowHeight="14.25" x14ac:dyDescent="0.45"/>
  <cols>
    <col min="1" max="1" width="1.73046875" customWidth="1"/>
    <col min="2" max="2" width="50.73046875" customWidth="1"/>
    <col min="3" max="3" width="30.73046875" customWidth="1"/>
    <col min="4" max="6" width="13.73046875" style="7" customWidth="1"/>
    <col min="7" max="7" width="1.73046875" style="7" customWidth="1"/>
    <col min="8" max="8" width="13.73046875" style="7" customWidth="1"/>
  </cols>
  <sheetData>
    <row r="1" spans="1:8" ht="30" customHeight="1" x14ac:dyDescent="0.75">
      <c r="A1" s="44" t="str">
        <f>range_Name_of_Organisation&amp;CHAR(32)&amp;range_Charity_Number</f>
        <v>Sailability Scotland SCIO SC047162</v>
      </c>
      <c r="B1" s="45"/>
      <c r="C1" s="45"/>
      <c r="D1" s="45"/>
      <c r="E1" s="45"/>
      <c r="F1" s="45"/>
      <c r="G1" s="45"/>
      <c r="H1" s="45"/>
    </row>
    <row r="2" spans="1:8" ht="54.95" customHeight="1" x14ac:dyDescent="0.75">
      <c r="A2" s="44" t="str">
        <f>"SECTION A: RECEIPTS AND PAYMENTS ACCOUNT
For the period ended 30th November "&amp;i_Year+1&amp;"."</f>
        <v>SECTION A: RECEIPTS AND PAYMENTS ACCOUNT
For the period ended 30th November 2025.</v>
      </c>
      <c r="B2" s="45"/>
      <c r="C2" s="45"/>
      <c r="D2" s="45"/>
      <c r="E2" s="45"/>
      <c r="F2" s="45"/>
      <c r="G2" s="45"/>
      <c r="H2" s="45"/>
    </row>
    <row r="3" spans="1:8" x14ac:dyDescent="0.45">
      <c r="D3"/>
      <c r="E3"/>
      <c r="F3"/>
      <c r="G3"/>
      <c r="H3"/>
    </row>
    <row r="4" spans="1:8" ht="28.5" x14ac:dyDescent="0.45">
      <c r="D4" s="4" t="s">
        <v>40</v>
      </c>
      <c r="E4" s="4" t="s">
        <v>4</v>
      </c>
      <c r="F4" s="4" t="s">
        <v>85</v>
      </c>
      <c r="G4"/>
      <c r="H4" s="4" t="s">
        <v>86</v>
      </c>
    </row>
    <row r="5" spans="1:8" x14ac:dyDescent="0.45">
      <c r="D5"/>
      <c r="E5"/>
      <c r="F5"/>
      <c r="G5"/>
      <c r="H5"/>
    </row>
    <row r="6" spans="1:8" x14ac:dyDescent="0.45">
      <c r="D6"/>
      <c r="E6"/>
      <c r="F6"/>
      <c r="G6"/>
      <c r="H6"/>
    </row>
    <row r="7" spans="1:8" x14ac:dyDescent="0.45">
      <c r="B7" s="11" t="s">
        <v>64</v>
      </c>
      <c r="D7" s="10" t="s">
        <v>0</v>
      </c>
      <c r="E7" s="10" t="s">
        <v>0</v>
      </c>
      <c r="F7" s="10" t="s">
        <v>0</v>
      </c>
      <c r="G7"/>
      <c r="H7" s="10" t="s">
        <v>0</v>
      </c>
    </row>
    <row r="8" spans="1:8" x14ac:dyDescent="0.45">
      <c r="B8" t="s">
        <v>5</v>
      </c>
      <c r="D8" s="40">
        <f>'A1'!H8</f>
        <v>50</v>
      </c>
      <c r="E8" s="40">
        <f>'A1'!I8</f>
        <v>2250</v>
      </c>
      <c r="F8" s="23">
        <f>SUM(D8:E8)</f>
        <v>2300</v>
      </c>
      <c r="G8" s="23"/>
      <c r="H8" s="23">
        <f>'Income &amp; Expenditure Statement'!L9</f>
        <v>1576.25</v>
      </c>
    </row>
    <row r="9" spans="1:8" x14ac:dyDescent="0.45">
      <c r="B9" t="s">
        <v>59</v>
      </c>
      <c r="D9" s="40"/>
      <c r="E9" s="23"/>
      <c r="F9" s="23"/>
      <c r="G9" s="23"/>
      <c r="H9" s="23"/>
    </row>
    <row r="10" spans="1:8" x14ac:dyDescent="0.45">
      <c r="B10" t="s">
        <v>14</v>
      </c>
      <c r="D10" s="40"/>
      <c r="E10" s="23"/>
      <c r="F10" s="23"/>
      <c r="G10" s="23"/>
      <c r="H10" s="23"/>
    </row>
    <row r="11" spans="1:8" x14ac:dyDescent="0.45">
      <c r="B11" t="s">
        <v>62</v>
      </c>
      <c r="D11" s="40">
        <f>'A1'!H11</f>
        <v>166</v>
      </c>
      <c r="E11" s="23"/>
      <c r="F11" s="23">
        <f>SUM(D11:E11)</f>
        <v>166</v>
      </c>
      <c r="G11" s="23"/>
      <c r="H11" s="23">
        <f>'Income &amp; Expenditure Statement'!L10</f>
        <v>18.739999999999998</v>
      </c>
    </row>
    <row r="12" spans="1:8" x14ac:dyDescent="0.45">
      <c r="B12" t="s">
        <v>63</v>
      </c>
      <c r="D12" s="40">
        <f>'A1'!H12</f>
        <v>3060</v>
      </c>
      <c r="E12" s="23"/>
      <c r="F12" s="23">
        <f>SUM(D12:E12)</f>
        <v>3060</v>
      </c>
      <c r="G12" s="23"/>
      <c r="H12" s="23">
        <f>'Income &amp; Expenditure Statement'!L14+'Income &amp; Expenditure Statement'!L13+'Income &amp; Expenditure Statement'!L11</f>
        <v>1483.47</v>
      </c>
    </row>
    <row r="13" spans="1:8" ht="28.5" x14ac:dyDescent="0.45">
      <c r="B13" s="21" t="s">
        <v>60</v>
      </c>
      <c r="D13" s="40">
        <f>'A1'!H13</f>
        <v>176</v>
      </c>
      <c r="E13" s="23"/>
      <c r="F13" s="23">
        <f t="shared" ref="F13:F16" si="0">SUM(D13:E13)</f>
        <v>176</v>
      </c>
      <c r="G13" s="23"/>
      <c r="H13" s="23">
        <f>'Income &amp; Expenditure Statement'!L13</f>
        <v>0</v>
      </c>
    </row>
    <row r="14" spans="1:8" x14ac:dyDescent="0.45">
      <c r="B14" s="21" t="s">
        <v>61</v>
      </c>
      <c r="D14" s="40"/>
      <c r="E14" s="23"/>
      <c r="F14" s="23">
        <f t="shared" si="0"/>
        <v>0</v>
      </c>
      <c r="G14" s="23"/>
      <c r="H14" s="23">
        <f>'Income &amp; Expenditure Statement'!L7</f>
        <v>0</v>
      </c>
    </row>
    <row r="15" spans="1:8" x14ac:dyDescent="0.45">
      <c r="B15" s="21" t="s">
        <v>16</v>
      </c>
      <c r="D15" s="40"/>
      <c r="E15" s="23"/>
      <c r="F15" s="23"/>
      <c r="G15" s="23"/>
      <c r="H15" s="23">
        <f>'Income &amp; Expenditure Statement'!L12</f>
        <v>0</v>
      </c>
    </row>
    <row r="16" spans="1:8" x14ac:dyDescent="0.45">
      <c r="B16" t="s">
        <v>2</v>
      </c>
      <c r="D16" s="40">
        <f>'A1'!H16</f>
        <v>190</v>
      </c>
      <c r="E16" s="23"/>
      <c r="F16" s="23">
        <f t="shared" si="0"/>
        <v>190</v>
      </c>
      <c r="G16" s="23"/>
      <c r="H16" s="23">
        <f>'Income &amp; Expenditure Statement'!L8</f>
        <v>220</v>
      </c>
    </row>
    <row r="17" spans="2:8" x14ac:dyDescent="0.45">
      <c r="D17" s="23"/>
      <c r="E17" s="23"/>
      <c r="F17" s="23"/>
      <c r="G17" s="23"/>
      <c r="H17" s="23"/>
    </row>
    <row r="18" spans="2:8" x14ac:dyDescent="0.45">
      <c r="B18" s="11" t="s">
        <v>68</v>
      </c>
      <c r="D18" s="26">
        <f>SUM(D8:D17)</f>
        <v>3642</v>
      </c>
      <c r="E18" s="26">
        <f>SUM(E8:E17)</f>
        <v>2250</v>
      </c>
      <c r="F18" s="26">
        <f>SUM(F8:F17)</f>
        <v>5892</v>
      </c>
      <c r="G18" s="23"/>
      <c r="H18" s="26">
        <f>SUM(H8:H17)</f>
        <v>3298.46</v>
      </c>
    </row>
    <row r="19" spans="2:8" x14ac:dyDescent="0.45">
      <c r="B19" s="11"/>
      <c r="D19" s="26"/>
      <c r="E19" s="26"/>
      <c r="F19" s="26"/>
      <c r="G19" s="23"/>
      <c r="H19" s="26"/>
    </row>
    <row r="20" spans="2:8" x14ac:dyDescent="0.45">
      <c r="B20" s="11" t="s">
        <v>65</v>
      </c>
      <c r="D20" s="26"/>
      <c r="E20" s="26"/>
      <c r="F20" s="26"/>
      <c r="G20" s="23"/>
      <c r="H20" s="26"/>
    </row>
    <row r="21" spans="2:8" x14ac:dyDescent="0.45">
      <c r="B21" t="s">
        <v>66</v>
      </c>
      <c r="D21" s="26"/>
      <c r="E21" s="26"/>
      <c r="F21" s="26"/>
      <c r="G21" s="23"/>
      <c r="H21" s="26"/>
    </row>
    <row r="22" spans="2:8" x14ac:dyDescent="0.45">
      <c r="B22" t="s">
        <v>67</v>
      </c>
      <c r="D22" s="26"/>
      <c r="E22" s="26"/>
      <c r="F22" s="26"/>
      <c r="G22" s="23"/>
      <c r="H22" s="26"/>
    </row>
    <row r="23" spans="2:8" x14ac:dyDescent="0.45">
      <c r="B23" s="11"/>
      <c r="D23" s="26"/>
      <c r="E23" s="26"/>
      <c r="F23" s="26"/>
      <c r="G23" s="23"/>
      <c r="H23" s="26"/>
    </row>
    <row r="24" spans="2:8" x14ac:dyDescent="0.45">
      <c r="B24" s="11" t="s">
        <v>69</v>
      </c>
      <c r="D24" s="26">
        <f>SUM(D21:D22)</f>
        <v>0</v>
      </c>
      <c r="E24" s="26">
        <f>SUM(E21:E22)</f>
        <v>0</v>
      </c>
      <c r="F24" s="26">
        <f>SUM(F21:F22)</f>
        <v>0</v>
      </c>
      <c r="G24" s="23"/>
      <c r="H24" s="26">
        <f>SUM(H21:H22)</f>
        <v>0</v>
      </c>
    </row>
    <row r="25" spans="2:8" x14ac:dyDescent="0.45">
      <c r="B25" s="11" t="s">
        <v>83</v>
      </c>
      <c r="D25" s="26">
        <f>D18+D24</f>
        <v>3642</v>
      </c>
      <c r="E25" s="26">
        <f>E18+E24</f>
        <v>2250</v>
      </c>
      <c r="F25" s="26">
        <f>F18+F24</f>
        <v>5892</v>
      </c>
      <c r="G25" s="23"/>
      <c r="H25" s="26">
        <f>H18+H24</f>
        <v>3298.46</v>
      </c>
    </row>
    <row r="26" spans="2:8" x14ac:dyDescent="0.45">
      <c r="B26" s="11"/>
      <c r="D26" s="26"/>
      <c r="E26" s="26"/>
      <c r="F26" s="26"/>
      <c r="G26" s="23"/>
      <c r="H26" s="26"/>
    </row>
    <row r="27" spans="2:8" x14ac:dyDescent="0.45">
      <c r="B27" s="11"/>
      <c r="D27" s="26"/>
      <c r="E27" s="26"/>
      <c r="F27" s="26"/>
      <c r="G27" s="23"/>
      <c r="H27" s="26"/>
    </row>
    <row r="28" spans="2:8" x14ac:dyDescent="0.45">
      <c r="B28" s="11" t="s">
        <v>70</v>
      </c>
      <c r="D28" s="23"/>
      <c r="E28" s="23"/>
      <c r="F28" s="23"/>
      <c r="G28" s="23"/>
      <c r="H28" s="23"/>
    </row>
    <row r="29" spans="2:8" x14ac:dyDescent="0.45">
      <c r="B29" t="s">
        <v>71</v>
      </c>
      <c r="D29" s="23">
        <f>'A1'!H29</f>
        <v>12.41</v>
      </c>
      <c r="E29" s="23"/>
      <c r="F29" s="23">
        <f>SUM(D29:E29)</f>
        <v>12.41</v>
      </c>
      <c r="G29" s="23"/>
      <c r="H29" s="23">
        <f>'Income &amp; Expenditure Statement'!L23</f>
        <v>12.07</v>
      </c>
    </row>
    <row r="30" spans="2:8" x14ac:dyDescent="0.45">
      <c r="B30" t="s">
        <v>72</v>
      </c>
      <c r="D30" s="23">
        <f>'A1'!H30</f>
        <v>818.04</v>
      </c>
      <c r="E30" s="23">
        <f>'A1'!I30</f>
        <v>2529.2200000000003</v>
      </c>
      <c r="F30" s="23">
        <f>SUM(D30:E30)</f>
        <v>3347.26</v>
      </c>
      <c r="G30" s="23"/>
      <c r="H30" s="23">
        <f>'Income &amp; Expenditure Statement'!L19</f>
        <v>1586.99</v>
      </c>
    </row>
    <row r="31" spans="2:8" x14ac:dyDescent="0.45">
      <c r="B31" t="s">
        <v>73</v>
      </c>
      <c r="D31" s="23"/>
      <c r="E31" s="23"/>
      <c r="F31" s="23"/>
      <c r="G31" s="23"/>
      <c r="H31" s="23"/>
    </row>
    <row r="32" spans="2:8" x14ac:dyDescent="0.45">
      <c r="B32" t="s">
        <v>74</v>
      </c>
      <c r="D32" s="23">
        <f>'A1'!H32</f>
        <v>3118.5</v>
      </c>
      <c r="E32" s="23"/>
      <c r="F32" s="23">
        <f>SUM(D32:E32)</f>
        <v>3118.5</v>
      </c>
      <c r="G32" s="23"/>
      <c r="H32" s="23">
        <f>'Income &amp; Expenditure Statement'!L18</f>
        <v>4988.6299999999992</v>
      </c>
    </row>
    <row r="33" spans="2:8" x14ac:dyDescent="0.45">
      <c r="B33" t="s">
        <v>75</v>
      </c>
      <c r="D33" s="23">
        <f>'A1'!H33</f>
        <v>0</v>
      </c>
      <c r="E33" s="23"/>
      <c r="F33" s="23">
        <f>SUM(D33:E33)</f>
        <v>0</v>
      </c>
      <c r="G33" s="23"/>
      <c r="H33" s="23">
        <f>'Income &amp; Expenditure Statement'!L22</f>
        <v>0</v>
      </c>
    </row>
    <row r="34" spans="2:8" x14ac:dyDescent="0.45">
      <c r="B34" t="s">
        <v>13</v>
      </c>
      <c r="D34" s="23">
        <f>'A1'!H34</f>
        <v>0</v>
      </c>
      <c r="E34" s="23"/>
      <c r="F34" s="23">
        <f t="shared" ref="F34:F39" si="1">SUM(D34:E34)</f>
        <v>0</v>
      </c>
      <c r="G34" s="23"/>
      <c r="H34" s="23">
        <f>'Income &amp; Expenditure Statement'!L20</f>
        <v>0</v>
      </c>
    </row>
    <row r="35" spans="2:8" x14ac:dyDescent="0.45">
      <c r="B35" t="s">
        <v>76</v>
      </c>
      <c r="D35" s="23"/>
      <c r="E35" s="23"/>
      <c r="F35" s="23"/>
      <c r="G35" s="23"/>
      <c r="H35" s="23"/>
    </row>
    <row r="36" spans="2:8" x14ac:dyDescent="0.45">
      <c r="B36" t="s">
        <v>77</v>
      </c>
      <c r="D36" s="23"/>
      <c r="E36" s="23"/>
      <c r="F36" s="23"/>
      <c r="G36" s="23"/>
      <c r="H36" s="23"/>
    </row>
    <row r="37" spans="2:8" x14ac:dyDescent="0.45">
      <c r="B37" t="s">
        <v>78</v>
      </c>
      <c r="D37" s="23"/>
      <c r="E37" s="23"/>
      <c r="F37" s="23"/>
      <c r="G37" s="23"/>
      <c r="H37" s="23"/>
    </row>
    <row r="38" spans="2:8" x14ac:dyDescent="0.45">
      <c r="B38" t="s">
        <v>79</v>
      </c>
      <c r="D38" s="23">
        <f>'A1'!H38</f>
        <v>58.1</v>
      </c>
      <c r="E38" s="23"/>
      <c r="F38" s="23">
        <f t="shared" si="1"/>
        <v>58.1</v>
      </c>
      <c r="G38" s="23"/>
      <c r="H38" s="23">
        <f>'Income &amp; Expenditure Statement'!L24</f>
        <v>29.92</v>
      </c>
    </row>
    <row r="39" spans="2:8" x14ac:dyDescent="0.45">
      <c r="B39" t="s">
        <v>35</v>
      </c>
      <c r="D39" s="23">
        <f>'A1'!H39</f>
        <v>0</v>
      </c>
      <c r="E39" s="23"/>
      <c r="F39" s="23">
        <f t="shared" si="1"/>
        <v>0</v>
      </c>
      <c r="G39" s="23"/>
      <c r="H39" s="23">
        <f>'Income &amp; Expenditure Statement'!L21</f>
        <v>0</v>
      </c>
    </row>
    <row r="40" spans="2:8" x14ac:dyDescent="0.45">
      <c r="B40" s="11" t="s">
        <v>80</v>
      </c>
      <c r="D40" s="26">
        <f>SUM(D29:D39)</f>
        <v>4007.0499999999997</v>
      </c>
      <c r="E40" s="26">
        <f>SUM(E29:E39)</f>
        <v>2529.2200000000003</v>
      </c>
      <c r="F40" s="26">
        <f>SUM(F29:F39)</f>
        <v>6536.27</v>
      </c>
      <c r="G40" s="23"/>
      <c r="H40" s="26">
        <f>SUM(H29:H39)</f>
        <v>6617.6099999999988</v>
      </c>
    </row>
    <row r="41" spans="2:8" x14ac:dyDescent="0.45">
      <c r="B41" s="11"/>
      <c r="D41" s="26"/>
      <c r="E41" s="26"/>
      <c r="F41" s="26"/>
      <c r="G41" s="23"/>
      <c r="H41" s="26"/>
    </row>
    <row r="42" spans="2:8" x14ac:dyDescent="0.45">
      <c r="B42" s="11" t="s">
        <v>81</v>
      </c>
      <c r="D42" s="26">
        <f>D40</f>
        <v>4007.0499999999997</v>
      </c>
      <c r="E42" s="26">
        <f>E40</f>
        <v>2529.2200000000003</v>
      </c>
      <c r="F42" s="26">
        <f>F40</f>
        <v>6536.27</v>
      </c>
      <c r="G42" s="23"/>
      <c r="H42" s="26">
        <f>H40</f>
        <v>6617.6099999999988</v>
      </c>
    </row>
    <row r="43" spans="2:8" x14ac:dyDescent="0.45">
      <c r="B43" s="11" t="s">
        <v>82</v>
      </c>
      <c r="D43" s="26">
        <f>D25</f>
        <v>3642</v>
      </c>
      <c r="E43" s="26">
        <f>E25</f>
        <v>2250</v>
      </c>
      <c r="F43" s="26">
        <f>F25</f>
        <v>5892</v>
      </c>
      <c r="G43" s="23"/>
      <c r="H43" s="26">
        <f>H25</f>
        <v>3298.46</v>
      </c>
    </row>
    <row r="44" spans="2:8" x14ac:dyDescent="0.45">
      <c r="D44" s="23"/>
      <c r="E44" s="23"/>
      <c r="F44" s="23"/>
      <c r="G44" s="23"/>
      <c r="H44" s="23"/>
    </row>
    <row r="45" spans="2:8" x14ac:dyDescent="0.45">
      <c r="B45" s="11" t="s">
        <v>84</v>
      </c>
      <c r="D45" s="26">
        <f>D18+-D40</f>
        <v>-365.04999999999973</v>
      </c>
      <c r="E45" s="26">
        <f>E18+-E40</f>
        <v>-279.22000000000025</v>
      </c>
      <c r="F45" s="26">
        <f>F18+-F40</f>
        <v>-644.27000000000044</v>
      </c>
      <c r="G45" s="23"/>
      <c r="H45" s="26">
        <f>H18+-H40</f>
        <v>-3319.1499999999987</v>
      </c>
    </row>
    <row r="46" spans="2:8" x14ac:dyDescent="0.45">
      <c r="E46"/>
      <c r="F46"/>
      <c r="G46"/>
      <c r="H46"/>
    </row>
    <row r="48" spans="2:8" ht="25.5" x14ac:dyDescent="0.75">
      <c r="B48" s="15" t="s">
        <v>38</v>
      </c>
      <c r="D48"/>
      <c r="E48"/>
      <c r="F48"/>
      <c r="G48"/>
    </row>
    <row r="49" spans="2:9" ht="18" x14ac:dyDescent="0.55000000000000004">
      <c r="B49" s="22" t="s">
        <v>46</v>
      </c>
      <c r="D49"/>
      <c r="E49"/>
      <c r="F49"/>
      <c r="G49"/>
    </row>
    <row r="50" spans="2:9" x14ac:dyDescent="0.45">
      <c r="D50"/>
      <c r="E50"/>
      <c r="F50"/>
      <c r="G50"/>
    </row>
    <row r="51" spans="2:9" ht="29.25" x14ac:dyDescent="0.55000000000000004">
      <c r="B51" s="22" t="s">
        <v>96</v>
      </c>
      <c r="C51" s="22"/>
      <c r="D51" s="4" t="s">
        <v>40</v>
      </c>
      <c r="E51" s="4" t="s">
        <v>4</v>
      </c>
      <c r="F51" s="4" t="s">
        <v>87</v>
      </c>
      <c r="G51"/>
      <c r="H51" s="4" t="s">
        <v>88</v>
      </c>
      <c r="I51" s="7"/>
    </row>
    <row r="52" spans="2:9" x14ac:dyDescent="0.45">
      <c r="B52" s="21" t="s">
        <v>42</v>
      </c>
      <c r="C52" s="21"/>
      <c r="D52" s="40">
        <f>'B1'!B5</f>
        <v>17936.11</v>
      </c>
      <c r="E52" s="23">
        <f>'B1'!C5</f>
        <v>1201.9100000000001</v>
      </c>
      <c r="F52" s="23">
        <f>SUM(D52:E52)</f>
        <v>19138.02</v>
      </c>
      <c r="G52" s="23"/>
      <c r="H52" s="23">
        <f>'B1'!F5</f>
        <v>22457.17</v>
      </c>
      <c r="I52" s="7"/>
    </row>
    <row r="53" spans="2:9" x14ac:dyDescent="0.45">
      <c r="B53" s="21" t="s">
        <v>43</v>
      </c>
      <c r="C53" s="21"/>
      <c r="D53" s="40">
        <f>'B1'!B6</f>
        <v>-365.77999999999975</v>
      </c>
      <c r="E53" s="23">
        <f>'B1'!C6</f>
        <v>-279.22000000000025</v>
      </c>
      <c r="F53" s="23">
        <f>SUM(D53:E53)</f>
        <v>-645</v>
      </c>
      <c r="G53" s="23"/>
      <c r="H53" s="23">
        <f>'B1'!F6</f>
        <v>-3319.1499999999992</v>
      </c>
      <c r="I53" s="7"/>
    </row>
    <row r="54" spans="2:9" x14ac:dyDescent="0.45">
      <c r="B54" s="21" t="s">
        <v>109</v>
      </c>
      <c r="C54" s="5"/>
      <c r="D54" s="40">
        <f>'B1'!B7</f>
        <v>0</v>
      </c>
      <c r="E54" s="23">
        <f>'B1'!C7</f>
        <v>0</v>
      </c>
      <c r="F54" s="23">
        <f>SUM(D54:E54)</f>
        <v>0</v>
      </c>
      <c r="G54" s="23"/>
      <c r="H54" s="23">
        <f>'B1'!F7</f>
        <v>0</v>
      </c>
      <c r="I54" s="7"/>
    </row>
    <row r="55" spans="2:9" x14ac:dyDescent="0.45">
      <c r="B55" s="21"/>
      <c r="C55" s="21"/>
      <c r="D55" s="40"/>
      <c r="E55" s="23"/>
      <c r="F55" s="23"/>
      <c r="G55" s="23"/>
      <c r="H55" s="23"/>
      <c r="I55" s="7"/>
    </row>
    <row r="56" spans="2:9" x14ac:dyDescent="0.45">
      <c r="B56" s="21" t="s">
        <v>89</v>
      </c>
      <c r="C56" s="21"/>
      <c r="D56" s="40">
        <f>'B1'!B9</f>
        <v>0</v>
      </c>
      <c r="E56" s="23">
        <f>'B1'!C9</f>
        <v>0</v>
      </c>
      <c r="F56" s="23">
        <f>SUM(D56:E56)</f>
        <v>0</v>
      </c>
      <c r="G56" s="23"/>
      <c r="H56" s="23">
        <f>'B1'!F9</f>
        <v>0</v>
      </c>
      <c r="I56" s="7"/>
    </row>
    <row r="57" spans="2:9" x14ac:dyDescent="0.45">
      <c r="B57" s="21" t="s">
        <v>148</v>
      </c>
      <c r="C57" s="21"/>
      <c r="D57" s="40">
        <f>'B1'!B10</f>
        <v>0</v>
      </c>
      <c r="E57" s="23">
        <f>'B1'!C10</f>
        <v>0</v>
      </c>
      <c r="F57" s="23">
        <f>SUM(D57:E57)</f>
        <v>0</v>
      </c>
      <c r="G57" s="23"/>
      <c r="H57" s="23">
        <f>'B1'!F10</f>
        <v>0</v>
      </c>
      <c r="I57" s="7"/>
    </row>
    <row r="58" spans="2:9" x14ac:dyDescent="0.45">
      <c r="B58" s="21"/>
      <c r="C58" s="21"/>
      <c r="D58" s="40"/>
      <c r="E58" s="23"/>
      <c r="F58" s="23"/>
      <c r="G58" s="23"/>
      <c r="H58" s="23"/>
      <c r="I58" s="7"/>
    </row>
    <row r="59" spans="2:9" x14ac:dyDescent="0.45">
      <c r="B59" s="27" t="s">
        <v>44</v>
      </c>
      <c r="C59" s="27"/>
      <c r="D59" s="42">
        <f>SUM(D52:D58)</f>
        <v>17570.330000000002</v>
      </c>
      <c r="E59" s="26">
        <f>SUM(E52:E58)</f>
        <v>922.68999999999983</v>
      </c>
      <c r="F59" s="26">
        <f>SUM(F52:F58)</f>
        <v>18493.02</v>
      </c>
      <c r="G59" s="23"/>
      <c r="H59" s="26">
        <f>SUM(H52:H58)</f>
        <v>19138.02</v>
      </c>
      <c r="I59" s="7"/>
    </row>
    <row r="60" spans="2:9" x14ac:dyDescent="0.45">
      <c r="D60"/>
      <c r="E60"/>
      <c r="I60" s="7"/>
    </row>
    <row r="61" spans="2:9" x14ac:dyDescent="0.45">
      <c r="D61"/>
      <c r="E61"/>
      <c r="I61" s="7"/>
    </row>
    <row r="62" spans="2:9" x14ac:dyDescent="0.45">
      <c r="B62" s="9" t="s">
        <v>168</v>
      </c>
      <c r="D62"/>
      <c r="E62"/>
      <c r="I62" s="7"/>
    </row>
    <row r="63" spans="2:9" x14ac:dyDescent="0.45">
      <c r="B63" s="27"/>
      <c r="D63"/>
      <c r="E63"/>
      <c r="I63" s="7"/>
    </row>
    <row r="64" spans="2:9" x14ac:dyDescent="0.45">
      <c r="B64" s="12" t="s">
        <v>149</v>
      </c>
      <c r="D64"/>
      <c r="E64"/>
      <c r="I64" s="7"/>
    </row>
    <row r="65" spans="2:9" x14ac:dyDescent="0.45">
      <c r="B65" t="s">
        <v>158</v>
      </c>
      <c r="D65" s="23">
        <f>'Consolidated - AGM'!D62</f>
        <v>19138.02</v>
      </c>
      <c r="E65" s="23">
        <f>'Consolidated - AGM'!E62</f>
        <v>5891.27</v>
      </c>
      <c r="F65" s="23">
        <f>'Consolidated - AGM'!F62</f>
        <v>-6536.27</v>
      </c>
      <c r="G65" s="23"/>
      <c r="H65" s="23">
        <f>SUM(D65:F65)</f>
        <v>18493.02</v>
      </c>
      <c r="I65" s="7"/>
    </row>
    <row r="66" spans="2:9" x14ac:dyDescent="0.45">
      <c r="B66" t="s">
        <v>162</v>
      </c>
      <c r="D66" s="23">
        <f>'Consolidated - AGM'!D63</f>
        <v>0</v>
      </c>
      <c r="E66" s="23">
        <f>'Consolidated - AGM'!E63</f>
        <v>-2250</v>
      </c>
      <c r="F66" s="23">
        <f>'Consolidated - AGM'!F63</f>
        <v>2529.2200000000003</v>
      </c>
      <c r="G66" s="23"/>
      <c r="H66" s="23">
        <f t="shared" ref="H66:H75" si="2">SUM(D66:F66)</f>
        <v>279.22000000000025</v>
      </c>
      <c r="I66" s="7"/>
    </row>
    <row r="67" spans="2:9" x14ac:dyDescent="0.45">
      <c r="D67" s="23"/>
      <c r="E67" s="23"/>
      <c r="F67" s="23"/>
      <c r="G67" s="23"/>
      <c r="H67" s="23"/>
      <c r="I67" s="7"/>
    </row>
    <row r="68" spans="2:9" x14ac:dyDescent="0.45">
      <c r="B68" s="12" t="s">
        <v>150</v>
      </c>
      <c r="D68" s="23"/>
      <c r="E68" s="23"/>
      <c r="F68" s="23"/>
      <c r="G68" s="23"/>
      <c r="H68" s="23"/>
      <c r="I68" s="7"/>
    </row>
    <row r="69" spans="2:9" x14ac:dyDescent="0.45">
      <c r="B69" t="s">
        <v>159</v>
      </c>
      <c r="D69" s="23">
        <f>'Consolidated - AGM'!D66</f>
        <v>0</v>
      </c>
      <c r="E69" s="23">
        <f>'Consolidated - AGM'!E66</f>
        <v>0</v>
      </c>
      <c r="F69" s="23">
        <f>'Consolidated - AGM'!F66</f>
        <v>0</v>
      </c>
      <c r="G69" s="23"/>
      <c r="H69" s="23">
        <f t="shared" si="2"/>
        <v>0</v>
      </c>
      <c r="I69" s="7"/>
    </row>
    <row r="70" spans="2:9" x14ac:dyDescent="0.45">
      <c r="B70" t="s">
        <v>160</v>
      </c>
      <c r="D70" s="23">
        <f>'Consolidated - AGM'!D67</f>
        <v>0</v>
      </c>
      <c r="E70" s="23">
        <f>'Consolidated - AGM'!E67</f>
        <v>250</v>
      </c>
      <c r="F70" s="23">
        <f>'Consolidated - AGM'!F67</f>
        <v>-194.13</v>
      </c>
      <c r="G70" s="23"/>
      <c r="H70" s="23">
        <f t="shared" si="2"/>
        <v>55.870000000000005</v>
      </c>
      <c r="I70" s="7"/>
    </row>
    <row r="71" spans="2:9" x14ac:dyDescent="0.45">
      <c r="B71" t="s">
        <v>161</v>
      </c>
      <c r="D71" s="23">
        <f>'Consolidated - AGM'!D68</f>
        <v>0</v>
      </c>
      <c r="E71" s="23">
        <f>'Consolidated - AGM'!E68</f>
        <v>1500</v>
      </c>
      <c r="F71" s="23">
        <f>'Consolidated - AGM'!F68</f>
        <v>-735</v>
      </c>
      <c r="G71" s="23"/>
      <c r="H71" s="23">
        <f t="shared" si="2"/>
        <v>765</v>
      </c>
      <c r="I71" s="7"/>
    </row>
    <row r="72" spans="2:9" x14ac:dyDescent="0.45">
      <c r="B72" t="s">
        <v>165</v>
      </c>
      <c r="D72" s="23">
        <f>'Consolidated - AGM'!D69</f>
        <v>0</v>
      </c>
      <c r="E72" s="23">
        <f>'Consolidated - AGM'!E69</f>
        <v>500</v>
      </c>
      <c r="F72" s="23">
        <f>'Consolidated - AGM'!F69</f>
        <v>-1600.0900000000001</v>
      </c>
      <c r="G72" s="23"/>
      <c r="H72" s="23">
        <f t="shared" si="2"/>
        <v>-1100.0900000000001</v>
      </c>
      <c r="I72" s="7"/>
    </row>
    <row r="73" spans="2:9" x14ac:dyDescent="0.45">
      <c r="D73" s="23"/>
      <c r="E73" s="23"/>
      <c r="F73" s="23"/>
      <c r="G73" s="23"/>
      <c r="H73" s="23"/>
      <c r="I73" s="7"/>
    </row>
    <row r="74" spans="2:9" x14ac:dyDescent="0.45">
      <c r="B74" s="12" t="s">
        <v>164</v>
      </c>
      <c r="D74" s="23"/>
      <c r="E74" s="23"/>
      <c r="F74" s="23"/>
      <c r="G74" s="23"/>
      <c r="H74" s="23"/>
      <c r="I74" s="7"/>
    </row>
    <row r="75" spans="2:9" x14ac:dyDescent="0.45">
      <c r="B75" t="s">
        <v>163</v>
      </c>
      <c r="D75" s="23">
        <f>'Consolidated - AGM'!D72</f>
        <v>0</v>
      </c>
      <c r="E75" s="23">
        <f>'Consolidated - AGM'!E72</f>
        <v>0</v>
      </c>
      <c r="F75" s="23">
        <f>'Consolidated - AGM'!F72</f>
        <v>0</v>
      </c>
      <c r="G75" s="23"/>
      <c r="H75" s="23">
        <f t="shared" si="2"/>
        <v>0</v>
      </c>
      <c r="I75" s="7"/>
    </row>
    <row r="76" spans="2:9" x14ac:dyDescent="0.45">
      <c r="B76" s="27"/>
      <c r="D76" s="26">
        <f>SUM(D65:D75)</f>
        <v>19138.02</v>
      </c>
      <c r="E76" s="26">
        <f t="shared" ref="E76:H76" si="3">SUM(E65:E75)</f>
        <v>5891.27</v>
      </c>
      <c r="F76" s="26">
        <f t="shared" si="3"/>
        <v>-6536.27</v>
      </c>
      <c r="G76" s="23"/>
      <c r="H76" s="26">
        <f t="shared" si="3"/>
        <v>18493.02</v>
      </c>
      <c r="I76" s="7"/>
    </row>
    <row r="77" spans="2:9" x14ac:dyDescent="0.45">
      <c r="D77"/>
      <c r="E77"/>
      <c r="I77" s="7"/>
    </row>
    <row r="78" spans="2:9" x14ac:dyDescent="0.45">
      <c r="D78"/>
      <c r="I78" s="7"/>
    </row>
    <row r="79" spans="2:9" ht="25.5" x14ac:dyDescent="0.75">
      <c r="B79" s="15" t="s">
        <v>38</v>
      </c>
      <c r="D79"/>
      <c r="E79"/>
      <c r="F79"/>
      <c r="G79"/>
      <c r="I79" s="7"/>
    </row>
    <row r="80" spans="2:9" ht="18" x14ac:dyDescent="0.55000000000000004">
      <c r="B80" s="22" t="s">
        <v>46</v>
      </c>
      <c r="D80"/>
      <c r="E80"/>
      <c r="F80"/>
      <c r="G80"/>
      <c r="I80" s="7"/>
    </row>
    <row r="81" spans="2:9" ht="18" x14ac:dyDescent="0.55000000000000004">
      <c r="B81" s="22"/>
      <c r="D81"/>
      <c r="E81"/>
      <c r="F81"/>
      <c r="G81"/>
    </row>
    <row r="82" spans="2:9" ht="29.25" x14ac:dyDescent="0.55000000000000004">
      <c r="B82" s="22" t="s">
        <v>97</v>
      </c>
      <c r="C82" s="22"/>
      <c r="D82" s="4" t="s">
        <v>40</v>
      </c>
      <c r="E82" s="4" t="s">
        <v>4</v>
      </c>
      <c r="F82" s="4" t="s">
        <v>87</v>
      </c>
      <c r="G82"/>
      <c r="H82" s="4" t="s">
        <v>88</v>
      </c>
      <c r="I82" s="7"/>
    </row>
    <row r="83" spans="2:9" x14ac:dyDescent="0.45">
      <c r="B83" s="21" t="s">
        <v>90</v>
      </c>
      <c r="C83" s="21"/>
      <c r="D83" s="23">
        <f>'B2'!B5</f>
        <v>175.77</v>
      </c>
      <c r="E83" s="23">
        <f>'B2'!C5</f>
        <v>0</v>
      </c>
      <c r="F83" s="23">
        <f>SUM(D83:E83)</f>
        <v>175.77</v>
      </c>
      <c r="G83" s="23"/>
      <c r="H83" s="23">
        <f>'B2'!F5</f>
        <v>245</v>
      </c>
      <c r="I83" s="7"/>
    </row>
    <row r="84" spans="2:9" x14ac:dyDescent="0.45">
      <c r="B84" s="21"/>
      <c r="C84" s="21"/>
      <c r="D84" s="28"/>
      <c r="E84" s="28"/>
      <c r="F84" s="28"/>
      <c r="G84" s="28"/>
      <c r="H84" s="28"/>
      <c r="I84" s="7"/>
    </row>
    <row r="85" spans="2:9" x14ac:dyDescent="0.45">
      <c r="B85" s="27" t="s">
        <v>9</v>
      </c>
      <c r="C85" s="27"/>
      <c r="D85" s="26">
        <f>SUM(D83:D83)</f>
        <v>175.77</v>
      </c>
      <c r="E85" s="26">
        <f>SUM(E83:E83)</f>
        <v>0</v>
      </c>
      <c r="F85" s="26">
        <f>SUM(F83:F83)</f>
        <v>175.77</v>
      </c>
      <c r="G85" s="23"/>
      <c r="H85" s="26">
        <f>SUM(H83:H83)</f>
        <v>245</v>
      </c>
      <c r="I85" s="7"/>
    </row>
    <row r="86" spans="2:9" x14ac:dyDescent="0.45">
      <c r="D86"/>
      <c r="I86" s="7"/>
    </row>
    <row r="87" spans="2:9" x14ac:dyDescent="0.45">
      <c r="D87"/>
      <c r="I87" s="7"/>
    </row>
    <row r="88" spans="2:9" x14ac:dyDescent="0.45">
      <c r="D88"/>
      <c r="I88" s="7"/>
    </row>
    <row r="90" spans="2:9" ht="25.5" x14ac:dyDescent="0.75">
      <c r="B90" s="15" t="s">
        <v>38</v>
      </c>
      <c r="C90" s="15"/>
      <c r="D90" s="15"/>
      <c r="E90"/>
      <c r="F90"/>
      <c r="G90"/>
      <c r="H90"/>
    </row>
    <row r="91" spans="2:9" ht="18" x14ac:dyDescent="0.55000000000000004">
      <c r="B91" s="22" t="s">
        <v>46</v>
      </c>
      <c r="C91" s="22"/>
      <c r="D91" s="22"/>
      <c r="E91"/>
      <c r="F91"/>
      <c r="G91"/>
      <c r="H91"/>
    </row>
    <row r="92" spans="2:9" ht="18" x14ac:dyDescent="0.55000000000000004">
      <c r="B92" s="22" t="s">
        <v>98</v>
      </c>
      <c r="C92" s="22"/>
      <c r="D92" s="22"/>
      <c r="E92"/>
      <c r="F92"/>
      <c r="G92"/>
      <c r="H92"/>
    </row>
    <row r="93" spans="2:9" x14ac:dyDescent="0.45">
      <c r="D93"/>
      <c r="E93"/>
      <c r="F93"/>
      <c r="G93"/>
      <c r="H93"/>
    </row>
    <row r="94" spans="2:9" ht="28.5" x14ac:dyDescent="0.45">
      <c r="B94" s="4" t="s">
        <v>47</v>
      </c>
      <c r="C94" s="4" t="s">
        <v>48</v>
      </c>
      <c r="D94" s="4" t="s">
        <v>94</v>
      </c>
      <c r="E94" s="4" t="s">
        <v>93</v>
      </c>
      <c r="F94" s="4" t="s">
        <v>92</v>
      </c>
      <c r="H94" s="4" t="s">
        <v>9</v>
      </c>
      <c r="I94" s="4" t="s">
        <v>91</v>
      </c>
    </row>
    <row r="95" spans="2:9" x14ac:dyDescent="0.45">
      <c r="B95" s="23" t="str">
        <f>'B3'!B6</f>
        <v>Challenger Dinghies</v>
      </c>
      <c r="C95" s="23">
        <f>'B3'!A6</f>
        <v>14</v>
      </c>
      <c r="D95" s="23" t="str">
        <f>'B3'!C6</f>
        <v>Unrestricted</v>
      </c>
      <c r="E95" s="23">
        <f>'B3'!D6</f>
        <v>0</v>
      </c>
      <c r="F95" s="23">
        <f>'B3'!E6</f>
        <v>10800</v>
      </c>
      <c r="G95" s="23"/>
      <c r="H95" s="23">
        <f>'B3'!F6</f>
        <v>10800</v>
      </c>
      <c r="I95" s="23">
        <f>'B3'!H6</f>
        <v>10800</v>
      </c>
    </row>
    <row r="96" spans="2:9" x14ac:dyDescent="0.45">
      <c r="B96" s="23" t="str">
        <f>'B3'!B7</f>
        <v>Launch trolleys</v>
      </c>
      <c r="C96" s="23">
        <f>'B3'!A7</f>
        <v>14</v>
      </c>
      <c r="D96" s="23" t="str">
        <f>'B3'!C7</f>
        <v>Unrestricted</v>
      </c>
      <c r="E96" s="23">
        <f>'B3'!D7</f>
        <v>0</v>
      </c>
      <c r="F96" s="23">
        <f>'B3'!E7</f>
        <v>2250</v>
      </c>
      <c r="G96" s="23"/>
      <c r="H96" s="23">
        <f>'B3'!F7</f>
        <v>2250</v>
      </c>
      <c r="I96" s="23">
        <f>'B3'!H7</f>
        <v>2250</v>
      </c>
    </row>
    <row r="97" spans="2:9" x14ac:dyDescent="0.45">
      <c r="B97" s="23" t="str">
        <f>'B3'!B8</f>
        <v>Double trailers</v>
      </c>
      <c r="C97" s="23">
        <f>'B3'!A8</f>
        <v>5</v>
      </c>
      <c r="D97" s="23" t="str">
        <f>'B3'!C8</f>
        <v>Unrestricted</v>
      </c>
      <c r="E97" s="23">
        <f>'B3'!D8</f>
        <v>0</v>
      </c>
      <c r="F97" s="23">
        <f>'B3'!E8</f>
        <v>3250</v>
      </c>
      <c r="G97" s="23"/>
      <c r="H97" s="23">
        <f>'B3'!F8</f>
        <v>3250</v>
      </c>
      <c r="I97" s="23">
        <f>'B3'!H8</f>
        <v>3250</v>
      </c>
    </row>
    <row r="98" spans="2:9" x14ac:dyDescent="0.45">
      <c r="B98" s="23" t="str">
        <f>'B3'!B9</f>
        <v>Single trailers</v>
      </c>
      <c r="C98" s="23">
        <f>'B3'!A9</f>
        <v>2</v>
      </c>
      <c r="D98" s="23" t="str">
        <f>'B3'!C9</f>
        <v>Unrestricted</v>
      </c>
      <c r="E98" s="23">
        <f>'B3'!D9</f>
        <v>0</v>
      </c>
      <c r="F98" s="23">
        <f>'B3'!E9</f>
        <v>2250</v>
      </c>
      <c r="G98" s="23"/>
      <c r="H98" s="23">
        <f>'B3'!F9</f>
        <v>2250</v>
      </c>
      <c r="I98" s="23">
        <f>'B3'!H9</f>
        <v>2250</v>
      </c>
    </row>
    <row r="99" spans="2:9" x14ac:dyDescent="0.45">
      <c r="B99" s="23" t="str">
        <f>'B3'!B10</f>
        <v>National Squib Keel boats (and trailers)</v>
      </c>
      <c r="C99" s="23">
        <f>'B3'!A10</f>
        <v>2</v>
      </c>
      <c r="D99" s="23" t="str">
        <f>'B3'!C10</f>
        <v>Unrestricted</v>
      </c>
      <c r="E99" s="23">
        <f>'B3'!D10</f>
        <v>0</v>
      </c>
      <c r="F99" s="23">
        <f>'B3'!E10</f>
        <v>0</v>
      </c>
      <c r="G99" s="23"/>
      <c r="H99" s="23">
        <f>'B3'!F10</f>
        <v>0</v>
      </c>
      <c r="I99" s="23">
        <f>'B3'!H10</f>
        <v>0</v>
      </c>
    </row>
    <row r="100" spans="2:9" x14ac:dyDescent="0.45">
      <c r="B100" s="23" t="str">
        <f>'B3'!B11</f>
        <v>2.4mR Keelboats</v>
      </c>
      <c r="C100" s="23">
        <f>'B3'!A11</f>
        <v>3</v>
      </c>
      <c r="D100" s="23" t="str">
        <f>'B3'!C11</f>
        <v>Unrestricted</v>
      </c>
      <c r="E100" s="23">
        <f>'B3'!D11</f>
        <v>0</v>
      </c>
      <c r="F100" s="23">
        <f>'B3'!E11</f>
        <v>0</v>
      </c>
      <c r="G100" s="23"/>
      <c r="H100" s="23">
        <f>'B3'!F11</f>
        <v>0</v>
      </c>
      <c r="I100" s="23">
        <f>'B3'!H11</f>
        <v>0</v>
      </c>
    </row>
    <row r="101" spans="2:9" x14ac:dyDescent="0.45">
      <c r="B101" s="23" t="str">
        <f>'B3'!B12</f>
        <v>Others</v>
      </c>
      <c r="C101" s="23">
        <f>'B3'!A12</f>
        <v>1</v>
      </c>
      <c r="D101" s="23" t="str">
        <f>'B3'!C12</f>
        <v>Unrestricted</v>
      </c>
      <c r="E101" s="23">
        <f>'B3'!D12</f>
        <v>0</v>
      </c>
      <c r="F101" s="23">
        <f>'B3'!E12</f>
        <v>0</v>
      </c>
      <c r="G101" s="23"/>
      <c r="H101" s="23">
        <f>'B3'!F12</f>
        <v>0</v>
      </c>
      <c r="I101" s="23">
        <f>'B3'!H12</f>
        <v>0</v>
      </c>
    </row>
    <row r="102" spans="2:9" x14ac:dyDescent="0.45">
      <c r="B102" s="23" t="str">
        <f>'B3'!B13</f>
        <v>Virus keelboat</v>
      </c>
      <c r="C102" s="23">
        <f>'B3'!A13</f>
        <v>1</v>
      </c>
      <c r="D102" s="23" t="str">
        <f>'B3'!C13</f>
        <v>Unrestricted</v>
      </c>
      <c r="E102" s="23">
        <f>'B3'!D13</f>
        <v>0</v>
      </c>
      <c r="F102" s="23">
        <f>'B3'!E13</f>
        <v>1200</v>
      </c>
      <c r="G102" s="23"/>
      <c r="H102" s="23">
        <f>'B3'!F13</f>
        <v>1200</v>
      </c>
      <c r="I102" s="23">
        <f>'B3'!H13</f>
        <v>1200</v>
      </c>
    </row>
    <row r="103" spans="2:9" x14ac:dyDescent="0.45">
      <c r="B103" s="23" t="str">
        <f>'B3'!B14</f>
        <v>Virus trailer</v>
      </c>
      <c r="C103" s="23">
        <f>'B3'!A14</f>
        <v>1</v>
      </c>
      <c r="D103" s="23" t="str">
        <f>'B3'!C14</f>
        <v>Unrestricted</v>
      </c>
      <c r="E103" s="23">
        <f>'B3'!D14</f>
        <v>0</v>
      </c>
      <c r="F103" s="23">
        <f>'B3'!E14</f>
        <v>750</v>
      </c>
      <c r="G103" s="23"/>
      <c r="H103" s="23">
        <f>'B3'!F14</f>
        <v>750</v>
      </c>
      <c r="I103" s="23">
        <f>'B3'!H14</f>
        <v>750</v>
      </c>
    </row>
    <row r="104" spans="2:9" x14ac:dyDescent="0.45">
      <c r="B104" s="23" t="str">
        <f>'B3'!B15</f>
        <v>Outboard motor</v>
      </c>
      <c r="C104" s="23">
        <f>'B3'!A15</f>
        <v>1</v>
      </c>
      <c r="D104" s="23" t="str">
        <f>'B3'!C15</f>
        <v>Unrestricted</v>
      </c>
      <c r="E104" s="23">
        <f>'B3'!D15</f>
        <v>0</v>
      </c>
      <c r="F104" s="23">
        <f>'B3'!E15</f>
        <v>300</v>
      </c>
      <c r="G104" s="23"/>
      <c r="H104" s="23">
        <f>'B3'!F15</f>
        <v>300</v>
      </c>
      <c r="I104" s="23">
        <f>'B3'!H15</f>
        <v>300</v>
      </c>
    </row>
    <row r="105" spans="2:9" x14ac:dyDescent="0.45">
      <c r="C105" s="26">
        <f>SUM(C95:C104)</f>
        <v>44</v>
      </c>
      <c r="D105" s="21"/>
      <c r="E105" s="26">
        <f>SUM(E95:E104)</f>
        <v>0</v>
      </c>
      <c r="F105" s="26">
        <f>SUM(F95:F104)</f>
        <v>20800</v>
      </c>
      <c r="G105" s="26"/>
      <c r="H105" s="26">
        <f>SUM(H95:H104)</f>
        <v>20800</v>
      </c>
      <c r="I105" s="26">
        <f>SUM(I95:I104)</f>
        <v>20800</v>
      </c>
    </row>
    <row r="106" spans="2:9" x14ac:dyDescent="0.45">
      <c r="C106" s="26"/>
      <c r="D106" s="21"/>
      <c r="E106" s="29"/>
      <c r="F106" s="29"/>
      <c r="H106" s="29"/>
      <c r="I106" s="29"/>
    </row>
    <row r="107" spans="2:9" x14ac:dyDescent="0.45">
      <c r="C107" s="26"/>
      <c r="D107" s="21"/>
      <c r="E107" s="29"/>
      <c r="F107" s="29"/>
      <c r="H107" s="29"/>
      <c r="I107" s="29"/>
    </row>
    <row r="110" spans="2:9" ht="25.5" x14ac:dyDescent="0.75">
      <c r="B110" s="15" t="s">
        <v>38</v>
      </c>
      <c r="C110" s="15"/>
      <c r="D110"/>
      <c r="E110"/>
      <c r="F110"/>
      <c r="G110"/>
      <c r="H110"/>
    </row>
    <row r="111" spans="2:9" ht="18" x14ac:dyDescent="0.55000000000000004">
      <c r="B111" s="22" t="s">
        <v>46</v>
      </c>
      <c r="C111" s="22"/>
      <c r="D111"/>
      <c r="E111"/>
      <c r="F111"/>
      <c r="G111"/>
      <c r="H111"/>
    </row>
    <row r="112" spans="2:9" ht="18" x14ac:dyDescent="0.55000000000000004">
      <c r="B112" s="22" t="s">
        <v>99</v>
      </c>
      <c r="C112" s="22"/>
      <c r="D112"/>
      <c r="E112"/>
      <c r="F112"/>
      <c r="G112"/>
      <c r="H112"/>
    </row>
    <row r="113" spans="2:8" x14ac:dyDescent="0.45">
      <c r="D113"/>
      <c r="E113"/>
      <c r="F113"/>
      <c r="G113"/>
      <c r="H113"/>
    </row>
    <row r="114" spans="2:8" ht="28.5" x14ac:dyDescent="0.45">
      <c r="B114" s="12" t="s">
        <v>49</v>
      </c>
      <c r="C114" s="4"/>
      <c r="D114" s="4" t="s">
        <v>40</v>
      </c>
      <c r="E114" s="4" t="s">
        <v>4</v>
      </c>
      <c r="F114" s="4" t="s">
        <v>9</v>
      </c>
      <c r="G114"/>
      <c r="H114" s="4" t="str">
        <f>'Analysis of Receipts &amp; Payments'!G5</f>
        <v>2023/2024</v>
      </c>
    </row>
    <row r="115" spans="2:8" x14ac:dyDescent="0.45">
      <c r="B115" s="21" t="s">
        <v>50</v>
      </c>
      <c r="D115" s="23">
        <f>'Analysis of Receipts &amp; Payments'!C6</f>
        <v>50</v>
      </c>
      <c r="E115" s="23">
        <f>'Analysis of Receipts &amp; Payments'!D6</f>
        <v>2250</v>
      </c>
      <c r="F115" s="23">
        <f>SUM(D115:E115)</f>
        <v>2300</v>
      </c>
      <c r="G115" s="23"/>
      <c r="H115" s="23">
        <f>'Analysis of Receipts &amp; Payments'!G6</f>
        <v>1576.25</v>
      </c>
    </row>
    <row r="116" spans="2:8" x14ac:dyDescent="0.45">
      <c r="B116" s="21" t="s">
        <v>51</v>
      </c>
      <c r="D116" s="23">
        <f>'Analysis of Receipts &amp; Payments'!C7</f>
        <v>190</v>
      </c>
      <c r="E116" s="23">
        <f>'Analysis of Receipts &amp; Payments'!D7</f>
        <v>0</v>
      </c>
      <c r="F116" s="23">
        <f>SUM(D116:E116)</f>
        <v>190</v>
      </c>
      <c r="G116" s="23"/>
      <c r="H116" s="23">
        <f>'Analysis of Receipts &amp; Payments'!G7</f>
        <v>220</v>
      </c>
    </row>
    <row r="117" spans="2:8" x14ac:dyDescent="0.45">
      <c r="B117" s="21" t="s">
        <v>110</v>
      </c>
      <c r="D117" s="23">
        <f>'Analysis of Receipts &amp; Payments'!C8</f>
        <v>165.96</v>
      </c>
      <c r="E117" s="23">
        <f>'Analysis of Receipts &amp; Payments'!D8</f>
        <v>0</v>
      </c>
      <c r="F117" s="23">
        <f>SUM(D117:E117)</f>
        <v>165.96</v>
      </c>
      <c r="G117" s="23"/>
      <c r="H117" s="23">
        <f>'Analysis of Receipts &amp; Payments'!G8</f>
        <v>18.739999999999998</v>
      </c>
    </row>
    <row r="118" spans="2:8" x14ac:dyDescent="0.45">
      <c r="B118" s="27" t="s">
        <v>9</v>
      </c>
      <c r="D118" s="26">
        <f>SUM(D115:D117)</f>
        <v>405.96000000000004</v>
      </c>
      <c r="E118" s="26">
        <f>SUM(E115:E117)</f>
        <v>2250</v>
      </c>
      <c r="F118" s="26">
        <f>SUM(F115:F117)</f>
        <v>2655.96</v>
      </c>
      <c r="G118" s="23"/>
      <c r="H118" s="26">
        <f>SUM(H115:H117)</f>
        <v>1814.99</v>
      </c>
    </row>
    <row r="119" spans="2:8" x14ac:dyDescent="0.45">
      <c r="B119" s="23"/>
      <c r="D119" s="28"/>
      <c r="E119" s="28"/>
      <c r="F119" s="28"/>
      <c r="G119" s="28"/>
      <c r="H119" s="28"/>
    </row>
    <row r="120" spans="2:8" x14ac:dyDescent="0.45">
      <c r="B120" s="23"/>
      <c r="D120" s="28"/>
      <c r="E120" s="28"/>
      <c r="F120" s="28"/>
      <c r="G120" s="28"/>
      <c r="H120" s="28"/>
    </row>
    <row r="121" spans="2:8" ht="28.5" x14ac:dyDescent="0.45">
      <c r="B121" s="12" t="s">
        <v>52</v>
      </c>
      <c r="C121" s="4"/>
      <c r="D121" s="30" t="s">
        <v>40</v>
      </c>
      <c r="E121" s="30" t="s">
        <v>4</v>
      </c>
      <c r="F121" s="30" t="s">
        <v>9</v>
      </c>
      <c r="G121" s="28"/>
      <c r="H121" s="30" t="str">
        <f>'Analysis of Receipts &amp; Payments'!G12</f>
        <v>2023/2024</v>
      </c>
    </row>
    <row r="122" spans="2:8" x14ac:dyDescent="0.45">
      <c r="B122" s="21" t="s">
        <v>53</v>
      </c>
      <c r="D122" s="23">
        <f>'Analysis of Receipts &amp; Payments'!C13</f>
        <v>0</v>
      </c>
      <c r="E122" s="23">
        <f>'Analysis of Receipts &amp; Payments'!D13</f>
        <v>0</v>
      </c>
      <c r="F122" s="23">
        <f>SUM(D122:E122)</f>
        <v>0</v>
      </c>
      <c r="G122" s="23"/>
      <c r="H122" s="23">
        <f>'Analysis of Receipts &amp; Payments'!G13</f>
        <v>0</v>
      </c>
    </row>
    <row r="123" spans="2:8" x14ac:dyDescent="0.45">
      <c r="B123" s="21" t="s">
        <v>54</v>
      </c>
      <c r="D123" s="23">
        <f>'Analysis of Receipts &amp; Payments'!C14</f>
        <v>931.84</v>
      </c>
      <c r="E123" s="23">
        <f>'Analysis of Receipts &amp; Payments'!D14</f>
        <v>0</v>
      </c>
      <c r="F123" s="23">
        <f>SUM(D123:E123)</f>
        <v>931.84</v>
      </c>
      <c r="G123" s="23"/>
      <c r="H123" s="23">
        <f>'Analysis of Receipts &amp; Payments'!G14</f>
        <v>465.92</v>
      </c>
    </row>
    <row r="124" spans="2:8" x14ac:dyDescent="0.45">
      <c r="B124" s="23"/>
      <c r="C124" s="21"/>
      <c r="D124" s="23"/>
      <c r="E124" s="23"/>
      <c r="F124" s="23"/>
      <c r="G124" s="23"/>
      <c r="H124" s="23"/>
    </row>
    <row r="125" spans="2:8" x14ac:dyDescent="0.45">
      <c r="B125" s="23"/>
      <c r="C125" s="27" t="s">
        <v>9</v>
      </c>
      <c r="D125" s="26">
        <f>SUM(D122:D124)</f>
        <v>931.84</v>
      </c>
      <c r="E125" s="26">
        <f>SUM(E122:E124)</f>
        <v>0</v>
      </c>
      <c r="F125" s="26">
        <f>SUM(F122:F124)</f>
        <v>931.84</v>
      </c>
      <c r="G125" s="26"/>
      <c r="H125" s="26">
        <f>SUM(H122:H124)</f>
        <v>465.92</v>
      </c>
    </row>
    <row r="130" spans="2:8" ht="25.5" x14ac:dyDescent="0.75">
      <c r="B130" s="15" t="s">
        <v>38</v>
      </c>
      <c r="C130" s="15"/>
      <c r="D130"/>
      <c r="E130"/>
      <c r="F130"/>
      <c r="G130"/>
    </row>
    <row r="131" spans="2:8" ht="18" x14ac:dyDescent="0.55000000000000004">
      <c r="B131" s="22" t="s">
        <v>46</v>
      </c>
      <c r="C131" s="22"/>
      <c r="D131"/>
      <c r="E131"/>
      <c r="F131"/>
      <c r="G131"/>
    </row>
    <row r="132" spans="2:8" ht="18" x14ac:dyDescent="0.55000000000000004">
      <c r="B132" s="22"/>
      <c r="C132" s="22"/>
      <c r="D132"/>
      <c r="E132"/>
      <c r="F132"/>
      <c r="G132"/>
    </row>
    <row r="133" spans="2:8" ht="18" x14ac:dyDescent="0.55000000000000004">
      <c r="B133" s="22" t="s">
        <v>142</v>
      </c>
      <c r="C133" s="22"/>
      <c r="D133"/>
      <c r="E133"/>
      <c r="F133"/>
      <c r="G133"/>
    </row>
    <row r="134" spans="2:8" ht="28.5" x14ac:dyDescent="0.45">
      <c r="B134" s="12" t="s">
        <v>136</v>
      </c>
      <c r="C134" s="12" t="s">
        <v>137</v>
      </c>
      <c r="D134" s="4"/>
      <c r="E134" s="4" t="s">
        <v>138</v>
      </c>
      <c r="F134" s="4" t="s">
        <v>9</v>
      </c>
      <c r="G134" s="4"/>
      <c r="H134" s="4" t="str">
        <f>i_Year-1&amp;"/"&amp;i_Year</f>
        <v>2023/2024</v>
      </c>
    </row>
    <row r="135" spans="2:8" x14ac:dyDescent="0.45">
      <c r="B135" s="41" t="str">
        <f>'C2 Grants'!B6</f>
        <v>SOCC-Scottish Open challenger Championships</v>
      </c>
      <c r="C135" s="41" t="str">
        <f>'C2 Grants'!C6</f>
        <v>Hugh Campbell</v>
      </c>
      <c r="D135" s="23"/>
      <c r="E135" s="23">
        <f>'C2 Grants'!D6</f>
        <v>1</v>
      </c>
      <c r="F135" s="23">
        <f>'C2 Grants'!F6</f>
        <v>250</v>
      </c>
      <c r="G135" s="23"/>
      <c r="H135" s="23">
        <f>'C2 Grants'!H6</f>
        <v>250</v>
      </c>
    </row>
    <row r="136" spans="2:8" ht="28.5" x14ac:dyDescent="0.45">
      <c r="B136" s="41" t="str">
        <f>'C2 Grants'!B7</f>
        <v>Grant award for sailor support towards regatta entry fees. 2025.</v>
      </c>
      <c r="C136" s="41" t="str">
        <f>'C2 Grants'!C7</f>
        <v>Thomas Tunnuck Limited</v>
      </c>
      <c r="D136" s="23"/>
      <c r="E136" s="23">
        <f>'C2 Grants'!D7</f>
        <v>1</v>
      </c>
      <c r="F136" s="23">
        <f>'C2 Grants'!F7</f>
        <v>1500</v>
      </c>
      <c r="G136" s="23"/>
      <c r="H136" s="23">
        <f>'C2 Grants'!H7</f>
        <v>800</v>
      </c>
    </row>
    <row r="137" spans="2:8" ht="28.5" x14ac:dyDescent="0.45">
      <c r="B137" s="41" t="str">
        <f>'C2 Grants'!B8</f>
        <v>Support for sailor's towing costs</v>
      </c>
      <c r="C137" s="41" t="str">
        <f>'C2 Grants'!C8</f>
        <v>Seamanship and Pilotage Trust-Clyde Cruising Club</v>
      </c>
      <c r="D137" s="23"/>
      <c r="E137" s="23">
        <f>'C2 Grants'!D8</f>
        <v>1</v>
      </c>
      <c r="F137" s="23">
        <f>'C2 Grants'!F8</f>
        <v>500</v>
      </c>
      <c r="G137" s="23"/>
      <c r="H137" s="23">
        <f>'C2 Grants'!H8</f>
        <v>500</v>
      </c>
    </row>
    <row r="138" spans="2:8" x14ac:dyDescent="0.45">
      <c r="B138" s="41"/>
      <c r="C138" s="23"/>
      <c r="D138" s="23"/>
      <c r="E138" s="23"/>
      <c r="F138" s="23"/>
      <c r="G138" s="23"/>
      <c r="H138" s="23"/>
    </row>
    <row r="139" spans="2:8" x14ac:dyDescent="0.45">
      <c r="B139" s="41"/>
      <c r="C139" s="23"/>
      <c r="D139" s="23"/>
      <c r="E139" s="26"/>
      <c r="F139" s="26"/>
      <c r="G139" s="26"/>
      <c r="H139" s="26"/>
    </row>
    <row r="140" spans="2:8" x14ac:dyDescent="0.45">
      <c r="B140" s="23"/>
      <c r="C140" s="23"/>
      <c r="D140" s="23"/>
      <c r="E140" s="26">
        <f>SUM(E135:E139)</f>
        <v>3</v>
      </c>
      <c r="F140" s="26">
        <f t="shared" ref="F140:H140" si="4">SUM(F135:F139)</f>
        <v>2250</v>
      </c>
      <c r="G140" s="23">
        <f t="shared" si="4"/>
        <v>0</v>
      </c>
      <c r="H140" s="26">
        <f t="shared" si="4"/>
        <v>1550</v>
      </c>
    </row>
    <row r="141" spans="2:8" ht="18" x14ac:dyDescent="0.55000000000000004">
      <c r="B141" s="22"/>
      <c r="C141" s="22"/>
      <c r="D141"/>
      <c r="E141"/>
      <c r="F141"/>
      <c r="G141"/>
    </row>
    <row r="142" spans="2:8" ht="18" x14ac:dyDescent="0.55000000000000004">
      <c r="B142" s="22"/>
      <c r="C142" s="22"/>
      <c r="D142"/>
      <c r="E142"/>
      <c r="F142"/>
      <c r="G142"/>
    </row>
    <row r="143" spans="2:8" ht="18" x14ac:dyDescent="0.55000000000000004">
      <c r="B143" s="22" t="s">
        <v>100</v>
      </c>
      <c r="C143" s="22"/>
      <c r="D143"/>
      <c r="E143"/>
      <c r="F143"/>
      <c r="G143"/>
    </row>
    <row r="144" spans="2:8" x14ac:dyDescent="0.45">
      <c r="D144"/>
      <c r="E144"/>
      <c r="F144"/>
      <c r="G144"/>
    </row>
    <row r="145" spans="2:9" ht="28.5" x14ac:dyDescent="0.45">
      <c r="B145" s="12"/>
      <c r="C145" s="4"/>
      <c r="D145" s="4" t="s">
        <v>57</v>
      </c>
      <c r="E145" s="4" t="s">
        <v>9</v>
      </c>
      <c r="F145" s="4"/>
      <c r="G145"/>
      <c r="H145" s="4" t="str">
        <f>'C4b Trustee Expenses'!F5</f>
        <v>2023/2024</v>
      </c>
      <c r="I145" s="7"/>
    </row>
    <row r="146" spans="2:9" x14ac:dyDescent="0.45">
      <c r="B146" s="21" t="str">
        <f>'C4b Trustee Expenses'!B6</f>
        <v>Travel</v>
      </c>
      <c r="C146" s="4"/>
      <c r="D146" s="23">
        <f>'C4b Trustee Expenses'!C6</f>
        <v>0</v>
      </c>
      <c r="E146" s="23">
        <f>'C4b Trustee Expenses'!D6</f>
        <v>0</v>
      </c>
      <c r="F146" s="23"/>
      <c r="G146" s="23"/>
      <c r="H146" s="23">
        <f>'C4b Trustee Expenses'!F6</f>
        <v>0</v>
      </c>
      <c r="I146" s="7"/>
    </row>
    <row r="147" spans="2:9" x14ac:dyDescent="0.45">
      <c r="B147" s="21" t="str">
        <f>'C4b Trustee Expenses'!B7</f>
        <v>Stationery/Printing/Postage/Phone</v>
      </c>
      <c r="C147" s="4"/>
      <c r="D147" s="23">
        <f>'C4b Trustee Expenses'!C7</f>
        <v>0</v>
      </c>
      <c r="E147" s="23">
        <f>'C4b Trustee Expenses'!D7</f>
        <v>0</v>
      </c>
      <c r="F147" s="23"/>
      <c r="G147" s="23"/>
      <c r="H147" s="23">
        <f>'C4b Trustee Expenses'!F7</f>
        <v>228.4</v>
      </c>
      <c r="I147" s="7"/>
    </row>
    <row r="148" spans="2:9" x14ac:dyDescent="0.45">
      <c r="B148" s="21" t="str">
        <f>'C4b Trustee Expenses'!B8</f>
        <v>Fleet maintenance costs</v>
      </c>
      <c r="C148" s="4"/>
      <c r="D148" s="23">
        <f>'C4b Trustee Expenses'!C8</f>
        <v>1</v>
      </c>
      <c r="E148" s="23">
        <f>'C4b Trustee Expenses'!D8</f>
        <v>36.799999999999997</v>
      </c>
      <c r="F148" s="23"/>
      <c r="G148" s="23"/>
      <c r="H148" s="23">
        <f>'C4b Trustee Expenses'!F8</f>
        <v>110.08</v>
      </c>
      <c r="I148" s="7"/>
    </row>
    <row r="149" spans="2:9" x14ac:dyDescent="0.45">
      <c r="B149" s="21" t="str">
        <f>'C4b Trustee Expenses'!B9</f>
        <v>Event costs</v>
      </c>
      <c r="C149" s="4"/>
      <c r="D149" s="23">
        <f>'C4b Trustee Expenses'!C9</f>
        <v>2</v>
      </c>
      <c r="E149" s="23">
        <f>'C4b Trustee Expenses'!D9</f>
        <v>1212.6300000000001</v>
      </c>
      <c r="F149" s="23"/>
      <c r="G149" s="23"/>
      <c r="H149" s="23">
        <f>'C4b Trustee Expenses'!F9</f>
        <v>47.01</v>
      </c>
      <c r="I149" s="7"/>
    </row>
    <row r="150" spans="2:9" x14ac:dyDescent="0.45">
      <c r="B150" s="23"/>
      <c r="C150" s="4"/>
      <c r="D150" s="26">
        <f>SUM(D146:D149)</f>
        <v>3</v>
      </c>
      <c r="E150" s="26">
        <f>SUM(E146:E149)</f>
        <v>1249.43</v>
      </c>
      <c r="F150" s="23"/>
      <c r="G150" s="23"/>
      <c r="H150" s="26">
        <f>SUM(H146:H149)</f>
        <v>385.49</v>
      </c>
      <c r="I150" s="7"/>
    </row>
    <row r="151" spans="2:9" x14ac:dyDescent="0.45">
      <c r="I151" s="7"/>
    </row>
    <row r="152" spans="2:9" x14ac:dyDescent="0.45">
      <c r="I152" s="7"/>
    </row>
    <row r="153" spans="2:9" ht="18" x14ac:dyDescent="0.55000000000000004">
      <c r="B153" s="22" t="str">
        <f>'Consolidated - AGM'!B141</f>
        <v>Analysis of Gross Trading Receipts</v>
      </c>
      <c r="I153" s="7"/>
    </row>
    <row r="154" spans="2:9" x14ac:dyDescent="0.45">
      <c r="I154" s="7"/>
    </row>
    <row r="155" spans="2:9" ht="28.5" x14ac:dyDescent="0.45">
      <c r="D155" s="4" t="str">
        <f>D4</f>
        <v>Unrestricted Funds</v>
      </c>
      <c r="E155" s="4" t="str">
        <f>E4</f>
        <v>Restricted Funds</v>
      </c>
      <c r="F155" s="4" t="str">
        <f>F4</f>
        <v>Total Funds Current Period</v>
      </c>
      <c r="G155" s="4"/>
      <c r="H155" s="4" t="str">
        <f>H4</f>
        <v>Total Funds Last Period</v>
      </c>
      <c r="I155" s="7"/>
    </row>
    <row r="156" spans="2:9" x14ac:dyDescent="0.45">
      <c r="B156" t="s">
        <v>2</v>
      </c>
      <c r="D156" s="23">
        <f>'Consolidated - AGM'!D143</f>
        <v>190</v>
      </c>
      <c r="E156" s="23"/>
      <c r="F156" s="23">
        <f>SUM(D156:E156)</f>
        <v>190</v>
      </c>
      <c r="G156" s="23"/>
      <c r="H156" s="23">
        <f>'Consolidated - AGM'!H143</f>
        <v>170</v>
      </c>
      <c r="I156" s="7"/>
    </row>
    <row r="157" spans="2:9" x14ac:dyDescent="0.45">
      <c r="B157" t="s">
        <v>153</v>
      </c>
      <c r="D157" s="23">
        <f>'Consolidated - AGM'!D144</f>
        <v>495</v>
      </c>
      <c r="E157" s="23"/>
      <c r="F157" s="23">
        <f t="shared" ref="F157:F158" si="5">SUM(D157:E157)</f>
        <v>495</v>
      </c>
      <c r="G157" s="23"/>
      <c r="H157" s="23">
        <f>'Consolidated - AGM'!H144</f>
        <v>600</v>
      </c>
      <c r="I157" s="7"/>
    </row>
    <row r="158" spans="2:9" x14ac:dyDescent="0.45">
      <c r="B158" t="s">
        <v>154</v>
      </c>
      <c r="D158" s="23">
        <f>'Consolidated - AGM'!D145</f>
        <v>840</v>
      </c>
      <c r="E158" s="23"/>
      <c r="F158" s="23">
        <f t="shared" si="5"/>
        <v>840</v>
      </c>
      <c r="G158" s="23"/>
      <c r="H158" s="23">
        <f>'Consolidated - AGM'!H145</f>
        <v>660</v>
      </c>
      <c r="I158" s="7"/>
    </row>
    <row r="159" spans="2:9" x14ac:dyDescent="0.45">
      <c r="D159" s="26">
        <f>SUM(D156:D158)</f>
        <v>1525</v>
      </c>
      <c r="E159" s="26">
        <f t="shared" ref="E159:H159" si="6">SUM(E156:E158)</f>
        <v>0</v>
      </c>
      <c r="F159" s="26">
        <f t="shared" si="6"/>
        <v>1525</v>
      </c>
      <c r="G159" s="23"/>
      <c r="H159" s="26">
        <f t="shared" si="6"/>
        <v>1430</v>
      </c>
      <c r="I159" s="7"/>
    </row>
    <row r="160" spans="2:9" x14ac:dyDescent="0.45">
      <c r="I160" s="7"/>
    </row>
    <row r="161" spans="2:9" x14ac:dyDescent="0.45">
      <c r="I161" s="7"/>
    </row>
    <row r="162" spans="2:9" ht="18" x14ac:dyDescent="0.55000000000000004">
      <c r="B162" s="22" t="s">
        <v>167</v>
      </c>
      <c r="I162" s="7"/>
    </row>
    <row r="163" spans="2:9" x14ac:dyDescent="0.45">
      <c r="B163" s="23"/>
      <c r="I163" s="7"/>
    </row>
    <row r="164" spans="2:9" x14ac:dyDescent="0.45">
      <c r="B164" s="23" t="s">
        <v>151</v>
      </c>
      <c r="D164" s="23">
        <f>'Consolidated - AGM'!D151</f>
        <v>0</v>
      </c>
      <c r="E164" s="23">
        <f>'Consolidated - AGM'!E151</f>
        <v>0</v>
      </c>
      <c r="F164" s="23">
        <f>'Consolidated - AGM'!F151</f>
        <v>0</v>
      </c>
      <c r="G164" s="23"/>
      <c r="H164" s="23">
        <f>'Consolidated - AGM'!H151</f>
        <v>0</v>
      </c>
      <c r="I164" s="7"/>
    </row>
    <row r="165" spans="2:9" x14ac:dyDescent="0.45">
      <c r="B165" s="23" t="s">
        <v>152</v>
      </c>
      <c r="D165" s="23">
        <f>'Consolidated - AGM'!D152</f>
        <v>15.96</v>
      </c>
      <c r="E165" s="23">
        <f>'Consolidated - AGM'!E152</f>
        <v>0</v>
      </c>
      <c r="F165" s="23">
        <f>'Consolidated - AGM'!F152</f>
        <v>15.96</v>
      </c>
      <c r="G165" s="23"/>
      <c r="H165" s="23">
        <f>'Consolidated - AGM'!H152</f>
        <v>19</v>
      </c>
      <c r="I165" s="7"/>
    </row>
    <row r="166" spans="2:9" x14ac:dyDescent="0.45">
      <c r="D166" s="26">
        <f>SUM(D164:D165)</f>
        <v>15.96</v>
      </c>
      <c r="E166" s="26">
        <f t="shared" ref="E166:H166" si="7">SUM(E164:E165)</f>
        <v>0</v>
      </c>
      <c r="F166" s="26">
        <f t="shared" si="7"/>
        <v>15.96</v>
      </c>
      <c r="G166" s="23"/>
      <c r="H166" s="26">
        <f t="shared" si="7"/>
        <v>19</v>
      </c>
      <c r="I166" s="7"/>
    </row>
    <row r="167" spans="2:9" x14ac:dyDescent="0.45">
      <c r="I167" s="7"/>
    </row>
    <row r="169" spans="2:9" ht="25.5" x14ac:dyDescent="0.75">
      <c r="B169" s="15" t="s">
        <v>38</v>
      </c>
    </row>
    <row r="171" spans="2:9" x14ac:dyDescent="0.45">
      <c r="B171" s="11" t="s">
        <v>101</v>
      </c>
    </row>
    <row r="172" spans="2:9" x14ac:dyDescent="0.45">
      <c r="B172" t="s">
        <v>102</v>
      </c>
    </row>
    <row r="174" spans="2:9" x14ac:dyDescent="0.45">
      <c r="B174" t="s">
        <v>107</v>
      </c>
    </row>
    <row r="179" spans="2:2" x14ac:dyDescent="0.45">
      <c r="B179" t="s">
        <v>108</v>
      </c>
    </row>
    <row r="180" spans="2:2" x14ac:dyDescent="0.45">
      <c r="B180" s="32">
        <f>i_Date_of_Treasurer_Signature</f>
        <v>46027</v>
      </c>
    </row>
  </sheetData>
  <sheetProtection sheet="1"/>
  <mergeCells count="2">
    <mergeCell ref="A1:H1"/>
    <mergeCell ref="A2:H2"/>
  </mergeCells>
  <pageMargins left="0.59055118110236227" right="0.39370078740157483" top="0.59055118110236227" bottom="0.78740157480314965" header="0.39370078740157483" footer="0.39370078740157483"/>
  <pageSetup paperSize="9" scale="62" fitToHeight="0" orientation="portrait" horizontalDpi="4294967293" r:id="rId1"/>
  <headerFooter>
    <oddFooter>&amp;L&amp;"Arial,Regular"&amp;6&amp;Z
&amp;F&amp;C&amp;"Arial,Regular"&amp;6&amp;A  Page &amp;P of  &amp;N&amp;R&amp;"Arial,Regular"&amp;6  &amp;D &amp;T</oddFooter>
  </headerFooter>
  <rowBreaks count="6" manualBreakCount="6">
    <brk id="47" max="16383" man="1"/>
    <brk id="78" max="16383" man="1"/>
    <brk id="89" max="16383" man="1"/>
    <brk id="109" max="16383" man="1"/>
    <brk id="129" max="16383" man="1"/>
    <brk id="168" max="8" man="1"/>
  </rowBreaks>
  <colBreaks count="1" manualBreakCount="1">
    <brk id="1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8875-4775-407D-97FE-08DDE2C060BE}">
  <sheetPr>
    <pageSetUpPr fitToPage="1"/>
  </sheetPr>
  <dimension ref="A1:F14"/>
  <sheetViews>
    <sheetView workbookViewId="0">
      <selection activeCell="D12" sqref="D12"/>
    </sheetView>
  </sheetViews>
  <sheetFormatPr defaultRowHeight="14.25" x14ac:dyDescent="0.45"/>
  <cols>
    <col min="1" max="1" width="50.73046875" customWidth="1"/>
    <col min="2" max="4" width="13.73046875" customWidth="1"/>
    <col min="5" max="5" width="1.73046875" customWidth="1"/>
    <col min="6" max="6" width="13.73046875" customWidth="1"/>
  </cols>
  <sheetData>
    <row r="1" spans="1:6" ht="25.5" x14ac:dyDescent="0.75">
      <c r="A1" s="15" t="str">
        <f>range_Name_of_Organisation</f>
        <v>Sailability Scotland SCIO</v>
      </c>
    </row>
    <row r="2" spans="1:6" ht="18" x14ac:dyDescent="0.55000000000000004">
      <c r="A2" s="22" t="s">
        <v>46</v>
      </c>
    </row>
    <row r="4" spans="1:6" ht="29.25" x14ac:dyDescent="0.55000000000000004">
      <c r="A4" s="22" t="str">
        <f ca="1">MID(CELL("filename",$A$1),FIND("]",CELL("filename",$A$1))+1,LEN(CELL("filename",$A$1))-FIND("]",CELL("filename",$A$1)))&amp;" Cash Funds"</f>
        <v>B1 Cash Funds</v>
      </c>
      <c r="B4" s="4" t="s">
        <v>40</v>
      </c>
      <c r="C4" s="4" t="s">
        <v>4</v>
      </c>
      <c r="D4" s="4" t="s">
        <v>87</v>
      </c>
      <c r="F4" s="4" t="s">
        <v>88</v>
      </c>
    </row>
    <row r="5" spans="1:6" x14ac:dyDescent="0.45">
      <c r="A5" s="21" t="s">
        <v>42</v>
      </c>
      <c r="B5" s="28">
        <f>'B1 Cash Funds'!B5</f>
        <v>17936.11</v>
      </c>
      <c r="C5" s="28">
        <f>'B1 Cash Funds'!C5</f>
        <v>1201.9100000000001</v>
      </c>
      <c r="D5" s="28">
        <f>SUM(B5:C5)</f>
        <v>19138.02</v>
      </c>
      <c r="E5" s="28"/>
      <c r="F5" s="28">
        <f>'B1 Cash Funds'!F5</f>
        <v>22457.17</v>
      </c>
    </row>
    <row r="6" spans="1:6" x14ac:dyDescent="0.45">
      <c r="A6" s="21" t="s">
        <v>43</v>
      </c>
      <c r="B6" s="28">
        <f>'B1 Cash Funds'!B6</f>
        <v>-365.77999999999975</v>
      </c>
      <c r="C6" s="28">
        <f>'B1 Cash Funds'!C6</f>
        <v>-279.22000000000025</v>
      </c>
      <c r="D6" s="28">
        <f>SUM(B6:C6)</f>
        <v>-645</v>
      </c>
      <c r="E6" s="28"/>
      <c r="F6" s="28">
        <f>'B1 Cash Funds'!F6</f>
        <v>-3319.1499999999992</v>
      </c>
    </row>
    <row r="7" spans="1:6" x14ac:dyDescent="0.45">
      <c r="A7" s="21" t="s">
        <v>109</v>
      </c>
      <c r="B7" s="28">
        <f>'B1 Cash Funds'!B7</f>
        <v>0</v>
      </c>
      <c r="C7" s="28"/>
      <c r="D7" s="28">
        <f>SUM(B7:C7)</f>
        <v>0</v>
      </c>
      <c r="E7" s="28"/>
      <c r="F7" s="28"/>
    </row>
    <row r="8" spans="1:6" x14ac:dyDescent="0.45">
      <c r="A8" s="21"/>
      <c r="B8" s="28"/>
      <c r="C8" s="28"/>
      <c r="D8" s="28"/>
      <c r="E8" s="28"/>
      <c r="F8" s="28"/>
    </row>
    <row r="9" spans="1:6" x14ac:dyDescent="0.45">
      <c r="A9" s="21" t="s">
        <v>89</v>
      </c>
      <c r="B9" s="28">
        <f>'B1 Cash Funds'!B10</f>
        <v>0</v>
      </c>
      <c r="C9" s="28">
        <f>'B1 Cash Funds'!C10</f>
        <v>0</v>
      </c>
      <c r="D9" s="28">
        <f>SUM(B9:C9)</f>
        <v>0</v>
      </c>
      <c r="E9" s="28"/>
      <c r="F9" s="28">
        <f>'B1 Cash Funds'!F10</f>
        <v>0</v>
      </c>
    </row>
    <row r="10" spans="1:6" x14ac:dyDescent="0.45">
      <c r="A10" s="21" t="s">
        <v>148</v>
      </c>
      <c r="B10" s="28">
        <f>'B1 Cash Funds'!B11</f>
        <v>0</v>
      </c>
      <c r="C10" s="28">
        <f>'B1 Cash Funds'!C11</f>
        <v>0</v>
      </c>
      <c r="D10" s="28">
        <f>SUM(B10:C10)</f>
        <v>0</v>
      </c>
      <c r="E10" s="28"/>
      <c r="F10" s="28">
        <f>'B1 Cash Funds'!F11</f>
        <v>0</v>
      </c>
    </row>
    <row r="11" spans="1:6" x14ac:dyDescent="0.45">
      <c r="A11" s="21"/>
      <c r="B11" s="28"/>
      <c r="C11" s="28"/>
      <c r="D11" s="28"/>
      <c r="E11" s="28"/>
      <c r="F11" s="28"/>
    </row>
    <row r="12" spans="1:6" x14ac:dyDescent="0.45">
      <c r="A12" s="27" t="s">
        <v>44</v>
      </c>
      <c r="B12" s="29">
        <f>SUM(B5:B10)</f>
        <v>17570.330000000002</v>
      </c>
      <c r="C12" s="29">
        <f>SUM(C5:C10)</f>
        <v>922.68999999999983</v>
      </c>
      <c r="D12" s="29">
        <f>SUM(D5:D10)</f>
        <v>18493.02</v>
      </c>
      <c r="E12" s="28"/>
      <c r="F12" s="29">
        <f>SUM(F5:F10)</f>
        <v>19138.02</v>
      </c>
    </row>
    <row r="14" spans="1:6" ht="30" customHeight="1" x14ac:dyDescent="0.45">
      <c r="A14" s="48" t="str">
        <f ca="1">CELL("filename",$A$1)</f>
        <v>https://d.docs.live.net/91e87eea257872b9/Documents/Sailability Scotland/Finance/Final accounts from STB-2025/[2024_2025_Final_Accounts_Sailability_Scotland_OSCR_FORMAT_Ver01 (1).xlsx]B1</v>
      </c>
      <c r="B14" s="48"/>
      <c r="C14" s="48"/>
      <c r="D14" s="48"/>
    </row>
  </sheetData>
  <sheetProtection sheet="1" objects="1" scenarios="1"/>
  <mergeCells count="1">
    <mergeCell ref="A14:D14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D7F2-B6D4-45AE-BEE3-A45AECDB2F3F}">
  <sheetPr>
    <pageSetUpPr fitToPage="1"/>
  </sheetPr>
  <dimension ref="A1:F9"/>
  <sheetViews>
    <sheetView workbookViewId="0"/>
  </sheetViews>
  <sheetFormatPr defaultRowHeight="14.25" x14ac:dyDescent="0.45"/>
  <cols>
    <col min="1" max="1" width="50.73046875" customWidth="1"/>
    <col min="2" max="4" width="13.73046875" customWidth="1"/>
    <col min="5" max="5" width="1.73046875" customWidth="1"/>
    <col min="6" max="6" width="13.73046875" customWidth="1"/>
  </cols>
  <sheetData>
    <row r="1" spans="1:6" ht="25.5" x14ac:dyDescent="0.75">
      <c r="A1" s="15" t="str">
        <f>range_Name_of_Organisation</f>
        <v>Sailability Scotland SCIO</v>
      </c>
    </row>
    <row r="2" spans="1:6" ht="18" x14ac:dyDescent="0.55000000000000004">
      <c r="A2" s="22" t="s">
        <v>46</v>
      </c>
    </row>
    <row r="3" spans="1:6" ht="18" x14ac:dyDescent="0.55000000000000004">
      <c r="A3" s="22"/>
    </row>
    <row r="4" spans="1:6" ht="29.25" x14ac:dyDescent="0.55000000000000004">
      <c r="A4" s="22" t="str">
        <f ca="1">MID(CELL("filename",$A$1),FIND("]",CELL("filename",$A$1))+1,LEN(CELL("filename",$A$1))-FIND("]",CELL("filename",$A$1)))&amp;" Investments"</f>
        <v>B2 Investments</v>
      </c>
      <c r="B4" s="4" t="s">
        <v>40</v>
      </c>
      <c r="C4" s="4" t="s">
        <v>4</v>
      </c>
      <c r="D4" s="4" t="s">
        <v>87</v>
      </c>
      <c r="F4" s="4" t="s">
        <v>88</v>
      </c>
    </row>
    <row r="5" spans="1:6" x14ac:dyDescent="0.45">
      <c r="A5" s="21" t="s">
        <v>90</v>
      </c>
      <c r="B5" s="28">
        <f>'[1]Year End Accounts'!$D$10</f>
        <v>175.77</v>
      </c>
      <c r="C5" s="28">
        <v>0</v>
      </c>
      <c r="D5" s="28">
        <f>SUM(B5:C5)</f>
        <v>175.77</v>
      </c>
      <c r="E5" s="28"/>
      <c r="F5" s="28">
        <v>245</v>
      </c>
    </row>
    <row r="6" spans="1:6" x14ac:dyDescent="0.45">
      <c r="A6" s="21"/>
      <c r="B6" s="28"/>
      <c r="C6" s="28"/>
      <c r="D6" s="28"/>
      <c r="E6" s="28"/>
      <c r="F6" s="28"/>
    </row>
    <row r="7" spans="1:6" x14ac:dyDescent="0.45">
      <c r="A7" s="27" t="s">
        <v>9</v>
      </c>
      <c r="B7" s="29">
        <f>SUM(B5:B5)</f>
        <v>175.77</v>
      </c>
      <c r="C7" s="29">
        <f>SUM(C5:C5)</f>
        <v>0</v>
      </c>
      <c r="D7" s="29">
        <f>SUM(D5:D5)</f>
        <v>175.77</v>
      </c>
      <c r="E7" s="28"/>
      <c r="F7" s="29">
        <f>SUM(F5:F5)</f>
        <v>245</v>
      </c>
    </row>
    <row r="9" spans="1:6" ht="30" customHeight="1" x14ac:dyDescent="0.45">
      <c r="A9" s="48" t="str">
        <f ca="1">CELL("filename",$A$1)</f>
        <v>https://d.docs.live.net/91e87eea257872b9/Documents/Sailability Scotland/Finance/Final accounts from STB-2025/[2024_2025_Final_Accounts_Sailability_Scotland_OSCR_FORMAT_Ver01 (1).xlsx]B2</v>
      </c>
      <c r="B9" s="48"/>
      <c r="C9" s="48"/>
      <c r="D9" s="48"/>
    </row>
  </sheetData>
  <mergeCells count="1">
    <mergeCell ref="A9:D9"/>
  </mergeCells>
  <pageMargins left="0.39370078740157483" right="0.39370078740157483" top="0.59055118110236227" bottom="0.78740157480314965" header="0.39370078740157483" footer="0.39370078740157483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6B7D-9B65-40B1-8DE1-2576DDCA16E4}">
  <sheetPr>
    <pageSetUpPr fitToPage="1"/>
  </sheetPr>
  <dimension ref="A1:I18"/>
  <sheetViews>
    <sheetView workbookViewId="0"/>
  </sheetViews>
  <sheetFormatPr defaultRowHeight="14.25" x14ac:dyDescent="0.45"/>
  <cols>
    <col min="1" max="1" width="7.73046875" customWidth="1"/>
    <col min="2" max="2" width="50.73046875" customWidth="1"/>
    <col min="3" max="5" width="13.73046875" customWidth="1"/>
    <col min="6" max="6" width="2.73046875" customWidth="1"/>
    <col min="7" max="7" width="13.73046875" customWidth="1"/>
    <col min="8" max="8" width="1.73046875" customWidth="1"/>
    <col min="9" max="9" width="13.73046875" customWidth="1"/>
  </cols>
  <sheetData>
    <row r="1" spans="1:9" ht="25.5" x14ac:dyDescent="0.75">
      <c r="A1" s="15" t="str">
        <f>range_Name_of_Organisation</f>
        <v>Sailability Scotland SCIO</v>
      </c>
      <c r="B1" s="15"/>
    </row>
    <row r="2" spans="1:9" ht="18" x14ac:dyDescent="0.55000000000000004">
      <c r="A2" s="22" t="s">
        <v>46</v>
      </c>
      <c r="B2" s="22"/>
    </row>
    <row r="3" spans="1:9" ht="18" x14ac:dyDescent="0.55000000000000004">
      <c r="A3" s="22" t="str">
        <f ca="1">MID(CELL("filename",$A$1),FIND("]",CELL("filename",$A$1))+1,LEN(CELL("filename",$A$1))-FIND("]",CELL("filename",$A$1)))</f>
        <v>B3 Other Assets</v>
      </c>
      <c r="B3" s="22"/>
    </row>
    <row r="5" spans="1:9" ht="42.75" x14ac:dyDescent="0.45">
      <c r="A5" s="4" t="s">
        <v>48</v>
      </c>
      <c r="B5" s="4" t="s">
        <v>47</v>
      </c>
      <c r="C5" s="4" t="s">
        <v>40</v>
      </c>
      <c r="D5" s="4" t="s">
        <v>4</v>
      </c>
      <c r="E5" s="4" t="s">
        <v>9</v>
      </c>
      <c r="G5" s="4" t="str">
        <f>i_Year-1&amp;"/"&amp;i_Year</f>
        <v>2023/2024</v>
      </c>
      <c r="I5" s="4" t="str">
        <f>"Revaluation charge in "&amp;i_Year&amp;"/"&amp;i_Year+1</f>
        <v>Revaluation charge in 2024/2025</v>
      </c>
    </row>
    <row r="6" spans="1:9" x14ac:dyDescent="0.45">
      <c r="A6" s="23">
        <v>14</v>
      </c>
      <c r="B6" s="21" t="str">
        <f>'Statement of Funds'!B9</f>
        <v>Challenger Dinghies</v>
      </c>
      <c r="C6" s="5">
        <f>'Statement of Funds'!D9</f>
        <v>10800</v>
      </c>
      <c r="D6" s="5"/>
      <c r="E6" s="5">
        <f t="shared" ref="E6:E15" si="0">SUM(C6:D6)</f>
        <v>10800</v>
      </c>
      <c r="G6" s="5">
        <v>10800</v>
      </c>
      <c r="I6" s="5">
        <f t="shared" ref="I6:I15" si="1">E6+-G6</f>
        <v>0</v>
      </c>
    </row>
    <row r="7" spans="1:9" x14ac:dyDescent="0.45">
      <c r="A7" s="23">
        <v>14</v>
      </c>
      <c r="B7" s="21" t="str">
        <f>'Statement of Funds'!B10</f>
        <v>Launch trolleys</v>
      </c>
      <c r="C7" s="5">
        <f>'Statement of Funds'!D10</f>
        <v>2250</v>
      </c>
      <c r="D7" s="5"/>
      <c r="E7" s="5">
        <f t="shared" si="0"/>
        <v>2250</v>
      </c>
      <c r="G7" s="5">
        <v>2250</v>
      </c>
      <c r="I7" s="5">
        <f t="shared" si="1"/>
        <v>0</v>
      </c>
    </row>
    <row r="8" spans="1:9" x14ac:dyDescent="0.45">
      <c r="A8" s="23">
        <v>5</v>
      </c>
      <c r="B8" s="21" t="str">
        <f>'Statement of Funds'!B11</f>
        <v>Double trailers</v>
      </c>
      <c r="C8" s="5">
        <f>'Statement of Funds'!D11</f>
        <v>3250</v>
      </c>
      <c r="D8" s="5"/>
      <c r="E8" s="5">
        <f t="shared" si="0"/>
        <v>3250</v>
      </c>
      <c r="G8" s="5">
        <v>3250</v>
      </c>
      <c r="I8" s="5">
        <f t="shared" si="1"/>
        <v>0</v>
      </c>
    </row>
    <row r="9" spans="1:9" x14ac:dyDescent="0.45">
      <c r="A9" s="23">
        <v>2</v>
      </c>
      <c r="B9" s="21" t="str">
        <f>'Statement of Funds'!B12</f>
        <v>Single trailers</v>
      </c>
      <c r="C9" s="5">
        <f>'Statement of Funds'!D12</f>
        <v>2250</v>
      </c>
      <c r="D9" s="5"/>
      <c r="E9" s="5">
        <f t="shared" si="0"/>
        <v>2250</v>
      </c>
      <c r="G9" s="5">
        <v>2250</v>
      </c>
      <c r="I9" s="5">
        <f t="shared" si="1"/>
        <v>0</v>
      </c>
    </row>
    <row r="10" spans="1:9" x14ac:dyDescent="0.45">
      <c r="A10" s="23">
        <v>2</v>
      </c>
      <c r="B10" s="21" t="str">
        <f>'Statement of Funds'!B13</f>
        <v>National Squib Keel boats (and trailers)</v>
      </c>
      <c r="C10" s="5">
        <f>'Statement of Funds'!D13</f>
        <v>0</v>
      </c>
      <c r="D10" s="5"/>
      <c r="E10" s="5">
        <f t="shared" si="0"/>
        <v>0</v>
      </c>
      <c r="G10" s="5">
        <v>0</v>
      </c>
      <c r="I10" s="5">
        <f t="shared" si="1"/>
        <v>0</v>
      </c>
    </row>
    <row r="11" spans="1:9" x14ac:dyDescent="0.45">
      <c r="A11" s="23">
        <v>3</v>
      </c>
      <c r="B11" s="21" t="s">
        <v>23</v>
      </c>
      <c r="C11" s="5">
        <f>'Statement of Funds'!D14</f>
        <v>0</v>
      </c>
      <c r="D11" s="5"/>
      <c r="E11" s="5">
        <f t="shared" si="0"/>
        <v>0</v>
      </c>
      <c r="G11" s="5">
        <v>0</v>
      </c>
      <c r="I11" s="5">
        <f t="shared" si="1"/>
        <v>0</v>
      </c>
    </row>
    <row r="12" spans="1:9" x14ac:dyDescent="0.45">
      <c r="A12" s="23">
        <v>1</v>
      </c>
      <c r="B12" s="21" t="s">
        <v>16</v>
      </c>
      <c r="C12" s="5">
        <f>'Statement of Funds'!D15</f>
        <v>0</v>
      </c>
      <c r="D12" s="5"/>
      <c r="E12" s="5">
        <f t="shared" si="0"/>
        <v>0</v>
      </c>
      <c r="G12" s="5">
        <v>0</v>
      </c>
      <c r="I12" s="5">
        <f t="shared" si="1"/>
        <v>0</v>
      </c>
    </row>
    <row r="13" spans="1:9" x14ac:dyDescent="0.45">
      <c r="A13" s="23">
        <v>1</v>
      </c>
      <c r="B13" s="21" t="s">
        <v>117</v>
      </c>
      <c r="C13" s="5">
        <f>'Statement of Funds'!D16</f>
        <v>1200</v>
      </c>
      <c r="D13" s="5"/>
      <c r="E13" s="5">
        <f t="shared" si="0"/>
        <v>1200</v>
      </c>
      <c r="G13" s="5">
        <v>1200</v>
      </c>
      <c r="I13" s="5">
        <f t="shared" si="1"/>
        <v>0</v>
      </c>
    </row>
    <row r="14" spans="1:9" x14ac:dyDescent="0.45">
      <c r="A14" s="23">
        <v>1</v>
      </c>
      <c r="B14" s="21" t="s">
        <v>118</v>
      </c>
      <c r="C14" s="5">
        <f>'Statement of Funds'!D17</f>
        <v>750</v>
      </c>
      <c r="D14" s="5"/>
      <c r="E14" s="5">
        <f t="shared" si="0"/>
        <v>750</v>
      </c>
      <c r="G14" s="5">
        <v>750</v>
      </c>
      <c r="I14" s="5">
        <f t="shared" si="1"/>
        <v>0</v>
      </c>
    </row>
    <row r="15" spans="1:9" x14ac:dyDescent="0.45">
      <c r="A15" s="23">
        <v>1</v>
      </c>
      <c r="B15" s="21" t="str">
        <f>'Statement of Funds'!B18</f>
        <v>Outboard motor</v>
      </c>
      <c r="C15" s="5">
        <f>'Statement of Funds'!D18</f>
        <v>300</v>
      </c>
      <c r="D15" s="5"/>
      <c r="E15" s="5">
        <f t="shared" si="0"/>
        <v>300</v>
      </c>
      <c r="G15" s="5">
        <v>300</v>
      </c>
      <c r="I15" s="5">
        <f t="shared" si="1"/>
        <v>0</v>
      </c>
    </row>
    <row r="16" spans="1:9" ht="14.65" thickBot="1" x14ac:dyDescent="0.5">
      <c r="A16" s="24">
        <f>SUM(A6:A15)</f>
        <v>44</v>
      </c>
      <c r="B16" s="21"/>
      <c r="C16" s="6">
        <f>SUM(C6:C15)</f>
        <v>20800</v>
      </c>
      <c r="D16" s="6">
        <f>SUM(D6:D15)</f>
        <v>0</v>
      </c>
      <c r="E16" s="6">
        <f>SUM(E6:E15)</f>
        <v>20800</v>
      </c>
      <c r="G16" s="6">
        <f>SUM(G6:G15)</f>
        <v>20800</v>
      </c>
      <c r="I16" s="6">
        <f>SUM(I6:I15)</f>
        <v>0</v>
      </c>
    </row>
    <row r="17" spans="1:9" ht="14.65" thickTop="1" x14ac:dyDescent="0.45"/>
    <row r="18" spans="1:9" ht="30" customHeight="1" x14ac:dyDescent="0.45">
      <c r="A18" s="49" t="str">
        <f ca="1">CELL("filename",$A$1)</f>
        <v>https://d.docs.live.net/91e87eea257872b9/Documents/Sailability Scotland/Finance/Final accounts from STB-2025/[2024_2025_Final_Accounts_Sailability_Scotland_OSCR_FORMAT_Ver01 (1).xlsx]B3 Other Assets</v>
      </c>
      <c r="B18" s="49"/>
      <c r="C18" s="49"/>
      <c r="D18" s="49"/>
      <c r="E18" s="49"/>
      <c r="F18" s="49"/>
      <c r="G18" s="49"/>
      <c r="H18" s="49"/>
      <c r="I18" s="49"/>
    </row>
  </sheetData>
  <sheetProtection sheet="1" objects="1" scenarios="1"/>
  <mergeCells count="1">
    <mergeCell ref="A18:I18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3B8A-056D-437A-9284-8543443FBECB}">
  <sheetPr>
    <pageSetUpPr fitToPage="1"/>
  </sheetPr>
  <dimension ref="A1:K18"/>
  <sheetViews>
    <sheetView workbookViewId="0"/>
  </sheetViews>
  <sheetFormatPr defaultRowHeight="14.25" outlineLevelCol="1" x14ac:dyDescent="0.45"/>
  <cols>
    <col min="1" max="1" width="7.73046875" customWidth="1"/>
    <col min="2" max="2" width="50.73046875" customWidth="1"/>
    <col min="3" max="3" width="20.73046875" customWidth="1"/>
    <col min="4" max="6" width="13.73046875" customWidth="1"/>
    <col min="7" max="7" width="2.73046875" customWidth="1"/>
    <col min="8" max="8" width="13.73046875" customWidth="1"/>
    <col min="9" max="9" width="1.73046875" hidden="1" customWidth="1" outlineLevel="1"/>
    <col min="10" max="10" width="13.73046875" hidden="1" customWidth="1" outlineLevel="1"/>
    <col min="11" max="11" width="9.1328125" collapsed="1"/>
  </cols>
  <sheetData>
    <row r="1" spans="1:10" ht="25.5" x14ac:dyDescent="0.75">
      <c r="A1" s="15" t="str">
        <f>range_Name_of_Organisation</f>
        <v>Sailability Scotland SCIO</v>
      </c>
      <c r="B1" s="15"/>
      <c r="C1" s="15"/>
    </row>
    <row r="2" spans="1:10" ht="18" x14ac:dyDescent="0.55000000000000004">
      <c r="A2" s="22" t="s">
        <v>46</v>
      </c>
      <c r="B2" s="22"/>
      <c r="C2" s="22"/>
    </row>
    <row r="3" spans="1:10" ht="18" x14ac:dyDescent="0.55000000000000004">
      <c r="A3" s="22" t="str">
        <f ca="1">MID(CELL("filename",$A$1),FIND("]",CELL("filename",$A$1))+1,LEN(CELL("filename",$A$1))-FIND("]",CELL("filename",$A$1)))</f>
        <v>B3</v>
      </c>
      <c r="B3" s="22"/>
      <c r="C3" s="22"/>
    </row>
    <row r="5" spans="1:10" ht="42.75" x14ac:dyDescent="0.45">
      <c r="A5" s="4" t="s">
        <v>48</v>
      </c>
      <c r="B5" s="4" t="s">
        <v>47</v>
      </c>
      <c r="C5" s="4" t="s">
        <v>94</v>
      </c>
      <c r="D5" s="4" t="s">
        <v>93</v>
      </c>
      <c r="E5" s="4" t="s">
        <v>92</v>
      </c>
      <c r="F5" s="4" t="s">
        <v>9</v>
      </c>
      <c r="H5" s="4" t="s">
        <v>91</v>
      </c>
      <c r="J5" s="4" t="str">
        <f>"Revaluation charge in "&amp;i_Year&amp;"/"&amp;i_Year+1</f>
        <v>Revaluation charge in 2024/2025</v>
      </c>
    </row>
    <row r="6" spans="1:10" x14ac:dyDescent="0.45">
      <c r="A6" s="23">
        <f>'B3 Other Assets'!A6</f>
        <v>14</v>
      </c>
      <c r="B6" s="21" t="str">
        <f>'Statement of Funds'!B9</f>
        <v>Challenger Dinghies</v>
      </c>
      <c r="C6" s="21" t="s">
        <v>95</v>
      </c>
      <c r="D6" s="28">
        <v>0</v>
      </c>
      <c r="E6" s="28">
        <f>'B3 Other Assets'!C6</f>
        <v>10800</v>
      </c>
      <c r="F6" s="28">
        <f t="shared" ref="F6:F15" si="0">SUM(E6:E6)</f>
        <v>10800</v>
      </c>
      <c r="G6" s="28"/>
      <c r="H6" s="28">
        <v>10800</v>
      </c>
      <c r="I6" s="28"/>
      <c r="J6" s="28">
        <f t="shared" ref="J6:J15" si="1">F6+-H6</f>
        <v>0</v>
      </c>
    </row>
    <row r="7" spans="1:10" x14ac:dyDescent="0.45">
      <c r="A7" s="23">
        <f>'B3 Other Assets'!A7</f>
        <v>14</v>
      </c>
      <c r="B7" s="21" t="str">
        <f>'Statement of Funds'!B10</f>
        <v>Launch trolleys</v>
      </c>
      <c r="C7" s="21" t="s">
        <v>95</v>
      </c>
      <c r="D7" s="28">
        <v>0</v>
      </c>
      <c r="E7" s="28">
        <f>'B3 Other Assets'!C7</f>
        <v>2250</v>
      </c>
      <c r="F7" s="28">
        <f t="shared" si="0"/>
        <v>2250</v>
      </c>
      <c r="G7" s="28"/>
      <c r="H7" s="28">
        <v>2250</v>
      </c>
      <c r="I7" s="28"/>
      <c r="J7" s="28">
        <f t="shared" si="1"/>
        <v>0</v>
      </c>
    </row>
    <row r="8" spans="1:10" x14ac:dyDescent="0.45">
      <c r="A8" s="23">
        <f>'B3 Other Assets'!A8</f>
        <v>5</v>
      </c>
      <c r="B8" s="21" t="str">
        <f>'Statement of Funds'!B11</f>
        <v>Double trailers</v>
      </c>
      <c r="C8" s="21" t="s">
        <v>95</v>
      </c>
      <c r="D8" s="28">
        <v>0</v>
      </c>
      <c r="E8" s="28">
        <f>'B3 Other Assets'!C8</f>
        <v>3250</v>
      </c>
      <c r="F8" s="28">
        <f t="shared" si="0"/>
        <v>3250</v>
      </c>
      <c r="G8" s="28"/>
      <c r="H8" s="28">
        <v>3250</v>
      </c>
      <c r="I8" s="28"/>
      <c r="J8" s="28">
        <f t="shared" si="1"/>
        <v>0</v>
      </c>
    </row>
    <row r="9" spans="1:10" x14ac:dyDescent="0.45">
      <c r="A9" s="23">
        <f>'B3 Other Assets'!A9</f>
        <v>2</v>
      </c>
      <c r="B9" s="21" t="str">
        <f>'Statement of Funds'!B12</f>
        <v>Single trailers</v>
      </c>
      <c r="C9" s="21" t="s">
        <v>95</v>
      </c>
      <c r="D9" s="28">
        <v>0</v>
      </c>
      <c r="E9" s="28">
        <f>'B3 Other Assets'!C9</f>
        <v>2250</v>
      </c>
      <c r="F9" s="28">
        <f t="shared" si="0"/>
        <v>2250</v>
      </c>
      <c r="G9" s="28"/>
      <c r="H9" s="28">
        <v>2250</v>
      </c>
      <c r="I9" s="28"/>
      <c r="J9" s="28">
        <f t="shared" si="1"/>
        <v>0</v>
      </c>
    </row>
    <row r="10" spans="1:10" x14ac:dyDescent="0.45">
      <c r="A10" s="23">
        <f>'B3 Other Assets'!A10</f>
        <v>2</v>
      </c>
      <c r="B10" s="21" t="str">
        <f>'Statement of Funds'!B13</f>
        <v>National Squib Keel boats (and trailers)</v>
      </c>
      <c r="C10" s="21" t="s">
        <v>95</v>
      </c>
      <c r="D10" s="28">
        <v>0</v>
      </c>
      <c r="E10" s="28">
        <f>'B3 Other Assets'!C10</f>
        <v>0</v>
      </c>
      <c r="F10" s="28">
        <f t="shared" si="0"/>
        <v>0</v>
      </c>
      <c r="G10" s="28"/>
      <c r="H10" s="28">
        <v>0</v>
      </c>
      <c r="I10" s="28"/>
      <c r="J10" s="28">
        <f t="shared" si="1"/>
        <v>0</v>
      </c>
    </row>
    <row r="11" spans="1:10" x14ac:dyDescent="0.45">
      <c r="A11" s="23">
        <f>'B3 Other Assets'!A11</f>
        <v>3</v>
      </c>
      <c r="B11" s="21" t="str">
        <f>'Statement of Funds'!B14</f>
        <v>2.4mR Keelboats</v>
      </c>
      <c r="C11" s="21" t="s">
        <v>95</v>
      </c>
      <c r="D11" s="28">
        <v>0</v>
      </c>
      <c r="E11" s="28">
        <f>'B3 Other Assets'!C11</f>
        <v>0</v>
      </c>
      <c r="F11" s="28">
        <f>SUM(E11:E11)</f>
        <v>0</v>
      </c>
      <c r="G11" s="28"/>
      <c r="H11" s="28">
        <v>0</v>
      </c>
      <c r="I11" s="28"/>
      <c r="J11" s="28"/>
    </row>
    <row r="12" spans="1:10" x14ac:dyDescent="0.45">
      <c r="A12" s="23">
        <f>'B3 Other Assets'!A12</f>
        <v>1</v>
      </c>
      <c r="B12" s="21" t="str">
        <f>'Statement of Funds'!B15</f>
        <v>Others</v>
      </c>
      <c r="C12" s="21" t="s">
        <v>95</v>
      </c>
      <c r="D12" s="28">
        <v>0</v>
      </c>
      <c r="E12" s="28">
        <f>'B3 Other Assets'!C12</f>
        <v>0</v>
      </c>
      <c r="F12" s="28">
        <f t="shared" ref="F12:F14" si="2">SUM(E12:E12)</f>
        <v>0</v>
      </c>
      <c r="G12" s="28"/>
      <c r="H12" s="28">
        <v>0</v>
      </c>
      <c r="I12" s="28"/>
      <c r="J12" s="28"/>
    </row>
    <row r="13" spans="1:10" x14ac:dyDescent="0.45">
      <c r="A13" s="23">
        <f>'B3 Other Assets'!A13</f>
        <v>1</v>
      </c>
      <c r="B13" s="21" t="str">
        <f>'Statement of Funds'!B16</f>
        <v>Virus keelboat</v>
      </c>
      <c r="C13" s="21" t="s">
        <v>95</v>
      </c>
      <c r="D13" s="28">
        <v>0</v>
      </c>
      <c r="E13" s="28">
        <f>'B3 Other Assets'!C13</f>
        <v>1200</v>
      </c>
      <c r="F13" s="28">
        <f t="shared" si="2"/>
        <v>1200</v>
      </c>
      <c r="G13" s="28"/>
      <c r="H13" s="28">
        <v>1200</v>
      </c>
      <c r="I13" s="28"/>
      <c r="J13" s="28"/>
    </row>
    <row r="14" spans="1:10" x14ac:dyDescent="0.45">
      <c r="A14" s="23">
        <f>'B3 Other Assets'!A14</f>
        <v>1</v>
      </c>
      <c r="B14" s="21" t="str">
        <f>'Statement of Funds'!B17</f>
        <v>Virus trailer</v>
      </c>
      <c r="C14" s="21" t="s">
        <v>95</v>
      </c>
      <c r="D14" s="28">
        <v>0</v>
      </c>
      <c r="E14" s="28">
        <f>'B3 Other Assets'!C14</f>
        <v>750</v>
      </c>
      <c r="F14" s="28">
        <f t="shared" si="2"/>
        <v>750</v>
      </c>
      <c r="G14" s="28"/>
      <c r="H14" s="28">
        <v>750</v>
      </c>
      <c r="I14" s="28"/>
      <c r="J14" s="28"/>
    </row>
    <row r="15" spans="1:10" x14ac:dyDescent="0.45">
      <c r="A15" s="23">
        <f>'B3 Other Assets'!A15</f>
        <v>1</v>
      </c>
      <c r="B15" s="21" t="str">
        <f>'Statement of Funds'!B18</f>
        <v>Outboard motor</v>
      </c>
      <c r="C15" s="21" t="s">
        <v>95</v>
      </c>
      <c r="D15" s="28">
        <v>0</v>
      </c>
      <c r="E15" s="28">
        <f>'B3 Other Assets'!C15</f>
        <v>300</v>
      </c>
      <c r="F15" s="28">
        <f t="shared" si="0"/>
        <v>300</v>
      </c>
      <c r="G15" s="28"/>
      <c r="H15" s="28">
        <v>300</v>
      </c>
      <c r="I15" s="28"/>
      <c r="J15" s="28">
        <f t="shared" si="1"/>
        <v>0</v>
      </c>
    </row>
    <row r="16" spans="1:10" x14ac:dyDescent="0.45">
      <c r="A16" s="26">
        <f>SUM(A6:A15)</f>
        <v>44</v>
      </c>
      <c r="B16" s="27" t="s">
        <v>9</v>
      </c>
      <c r="C16" s="21"/>
      <c r="D16" s="29">
        <f>SUM(D6:D15)</f>
        <v>0</v>
      </c>
      <c r="E16" s="29">
        <f>SUM(E6:E15)</f>
        <v>20800</v>
      </c>
      <c r="F16" s="29">
        <f>SUM(F6:F15)</f>
        <v>20800</v>
      </c>
      <c r="G16" s="28"/>
      <c r="H16" s="29">
        <f>SUM(H6:H15)</f>
        <v>20800</v>
      </c>
      <c r="I16" s="28"/>
      <c r="J16" s="29">
        <f>SUM(J6:J15)</f>
        <v>0</v>
      </c>
    </row>
    <row r="18" spans="1:10" ht="30" customHeight="1" x14ac:dyDescent="0.45">
      <c r="A18" s="49" t="str">
        <f ca="1">CELL("filename",$A$1)</f>
        <v>https://d.docs.live.net/91e87eea257872b9/Documents/Sailability Scotland/Finance/Final accounts from STB-2025/[2024_2025_Final_Accounts_Sailability_Scotland_OSCR_FORMAT_Ver01 (1).xlsx]B3</v>
      </c>
      <c r="B18" s="49"/>
      <c r="C18" s="49"/>
      <c r="D18" s="49"/>
      <c r="E18" s="49"/>
      <c r="F18" s="49"/>
      <c r="G18" s="49"/>
      <c r="H18" s="49"/>
      <c r="I18" s="49"/>
      <c r="J18" s="49"/>
    </row>
  </sheetData>
  <sheetProtection sheet="1" objects="1" scenarios="1"/>
  <mergeCells count="1">
    <mergeCell ref="A18:J18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12A3-5B8E-4648-837B-84C608344A5C}">
  <sheetPr>
    <pageSetUpPr fitToPage="1"/>
  </sheetPr>
  <dimension ref="A1:G19"/>
  <sheetViews>
    <sheetView workbookViewId="0">
      <selection activeCell="C14" sqref="C14"/>
    </sheetView>
  </sheetViews>
  <sheetFormatPr defaultRowHeight="14.25" x14ac:dyDescent="0.45"/>
  <cols>
    <col min="1" max="1" width="2.73046875" customWidth="1"/>
    <col min="2" max="2" width="50.73046875" customWidth="1"/>
    <col min="3" max="5" width="13.73046875" customWidth="1"/>
    <col min="6" max="6" width="2.73046875" customWidth="1"/>
    <col min="7" max="7" width="13.73046875" customWidth="1"/>
  </cols>
  <sheetData>
    <row r="1" spans="1:7" ht="25.5" x14ac:dyDescent="0.75">
      <c r="A1" s="15" t="str">
        <f>range_Name_of_Organisation</f>
        <v>Sailability Scotland SCIO</v>
      </c>
      <c r="B1" s="15"/>
    </row>
    <row r="2" spans="1:7" ht="18" x14ac:dyDescent="0.55000000000000004">
      <c r="A2" s="22" t="s">
        <v>46</v>
      </c>
      <c r="B2" s="22"/>
    </row>
    <row r="3" spans="1:7" ht="18" x14ac:dyDescent="0.55000000000000004">
      <c r="A3" s="22" t="str">
        <f ca="1">MID(CELL("filename",$A$1),FIND("]",CELL("filename",$A$1))+1,LEN(CELL("filename",$A$1))-FIND("]",CELL("filename",$A$1)))</f>
        <v>Analysis of Receipts &amp; Payments</v>
      </c>
      <c r="B3" s="22"/>
    </row>
    <row r="5" spans="1:7" ht="28.5" x14ac:dyDescent="0.45">
      <c r="A5" s="12" t="s">
        <v>143</v>
      </c>
      <c r="B5" s="4"/>
      <c r="C5" s="4" t="s">
        <v>40</v>
      </c>
      <c r="D5" s="4" t="s">
        <v>4</v>
      </c>
      <c r="E5" s="4" t="s">
        <v>9</v>
      </c>
      <c r="G5" s="4" t="str">
        <f>i_Year-1&amp;"/"&amp;i_Year</f>
        <v>2023/2024</v>
      </c>
    </row>
    <row r="6" spans="1:7" x14ac:dyDescent="0.45">
      <c r="A6" s="23"/>
      <c r="B6" s="21" t="s">
        <v>50</v>
      </c>
      <c r="C6" s="28">
        <f>'Income &amp; Expenditure Statement'!H9</f>
        <v>50</v>
      </c>
      <c r="D6" s="28">
        <f>'Income &amp; Expenditure Statement'!I9</f>
        <v>2250</v>
      </c>
      <c r="E6" s="28">
        <f>SUM(C6:D6)</f>
        <v>2300</v>
      </c>
      <c r="F6" s="28"/>
      <c r="G6" s="28">
        <f>'Income &amp; Expenditure Statement'!L9</f>
        <v>1576.25</v>
      </c>
    </row>
    <row r="7" spans="1:7" x14ac:dyDescent="0.45">
      <c r="A7" s="23"/>
      <c r="B7" s="21" t="s">
        <v>51</v>
      </c>
      <c r="C7" s="28">
        <f>'Income &amp; Expenditure Statement'!H8</f>
        <v>190</v>
      </c>
      <c r="D7" s="28"/>
      <c r="E7" s="28">
        <f>SUM(C7:D7)</f>
        <v>190</v>
      </c>
      <c r="F7" s="28"/>
      <c r="G7" s="28">
        <f>'Income &amp; Expenditure Statement'!L8</f>
        <v>220</v>
      </c>
    </row>
    <row r="8" spans="1:7" x14ac:dyDescent="0.45">
      <c r="A8" s="23"/>
      <c r="B8" s="21" t="s">
        <v>110</v>
      </c>
      <c r="C8" s="28">
        <f>'Income &amp; Expenditure Statement'!H10</f>
        <v>165.96</v>
      </c>
      <c r="D8" s="28"/>
      <c r="E8" s="28">
        <f>SUM(C8:D8)</f>
        <v>165.96</v>
      </c>
      <c r="F8" s="28"/>
      <c r="G8" s="28">
        <f>'Income &amp; Expenditure Statement'!L10</f>
        <v>18.739999999999998</v>
      </c>
    </row>
    <row r="9" spans="1:7" x14ac:dyDescent="0.45">
      <c r="A9" s="23"/>
      <c r="B9" s="27" t="s">
        <v>9</v>
      </c>
      <c r="C9" s="29">
        <f>SUM(C6:C8)</f>
        <v>405.96000000000004</v>
      </c>
      <c r="D9" s="29">
        <f>SUM(D6:D8)</f>
        <v>2250</v>
      </c>
      <c r="E9" s="29">
        <f>SUM(E6:E8)</f>
        <v>2655.96</v>
      </c>
      <c r="F9" s="28"/>
      <c r="G9" s="29">
        <f>SUM(G6:G8)</f>
        <v>1814.99</v>
      </c>
    </row>
    <row r="10" spans="1:7" x14ac:dyDescent="0.45">
      <c r="A10" s="23"/>
      <c r="C10" s="28"/>
      <c r="D10" s="28"/>
      <c r="E10" s="28"/>
      <c r="F10" s="28"/>
      <c r="G10" s="28"/>
    </row>
    <row r="11" spans="1:7" x14ac:dyDescent="0.45">
      <c r="A11" s="23"/>
      <c r="C11" s="28"/>
      <c r="D11" s="28"/>
      <c r="E11" s="28"/>
      <c r="F11" s="28"/>
      <c r="G11" s="28"/>
    </row>
    <row r="12" spans="1:7" ht="28.5" x14ac:dyDescent="0.45">
      <c r="A12" s="12" t="s">
        <v>52</v>
      </c>
      <c r="B12" s="4"/>
      <c r="C12" s="30" t="s">
        <v>40</v>
      </c>
      <c r="D12" s="30" t="s">
        <v>4</v>
      </c>
      <c r="E12" s="30" t="s">
        <v>9</v>
      </c>
      <c r="F12" s="28"/>
      <c r="G12" s="30" t="str">
        <f>i_Year-1&amp;"/"&amp;i_Year</f>
        <v>2023/2024</v>
      </c>
    </row>
    <row r="13" spans="1:7" x14ac:dyDescent="0.45">
      <c r="A13" s="23"/>
      <c r="B13" s="21" t="s">
        <v>53</v>
      </c>
      <c r="C13" s="28">
        <v>0</v>
      </c>
      <c r="D13" s="28"/>
      <c r="E13" s="28">
        <f>SUM(C13:D13)</f>
        <v>0</v>
      </c>
      <c r="F13" s="28"/>
      <c r="G13" s="28">
        <v>0</v>
      </c>
    </row>
    <row r="14" spans="1:7" x14ac:dyDescent="0.45">
      <c r="A14" s="23"/>
      <c r="B14" s="21" t="s">
        <v>54</v>
      </c>
      <c r="C14" s="28">
        <v>931.84</v>
      </c>
      <c r="D14" s="28"/>
      <c r="E14" s="28">
        <f>SUM(C14:D14)</f>
        <v>931.84</v>
      </c>
      <c r="F14" s="28"/>
      <c r="G14" s="28">
        <v>465.92</v>
      </c>
    </row>
    <row r="15" spans="1:7" x14ac:dyDescent="0.45">
      <c r="A15" s="23"/>
      <c r="B15" s="21"/>
      <c r="C15" s="28"/>
      <c r="D15" s="28"/>
      <c r="E15" s="28"/>
      <c r="F15" s="28"/>
      <c r="G15" s="28"/>
    </row>
    <row r="16" spans="1:7" x14ac:dyDescent="0.45">
      <c r="A16" s="23"/>
      <c r="B16" s="27" t="s">
        <v>9</v>
      </c>
      <c r="C16" s="29">
        <f>SUM(C13:C15)</f>
        <v>931.84</v>
      </c>
      <c r="D16" s="29">
        <f>SUM(D13:D15)</f>
        <v>0</v>
      </c>
      <c r="E16" s="29">
        <f>SUM(E13:E15)</f>
        <v>931.84</v>
      </c>
      <c r="F16" s="28"/>
      <c r="G16" s="29">
        <f>SUM(G13:G15)</f>
        <v>465.92</v>
      </c>
    </row>
    <row r="17" spans="1:7" x14ac:dyDescent="0.45">
      <c r="A17" s="23"/>
    </row>
    <row r="18" spans="1:7" x14ac:dyDescent="0.45">
      <c r="A18" s="23"/>
    </row>
    <row r="19" spans="1:7" ht="30" customHeight="1" x14ac:dyDescent="0.45">
      <c r="A19" s="46" t="str">
        <f ca="1">CELL("filename",$A$1)</f>
        <v>https://d.docs.live.net/91e87eea257872b9/Documents/Sailability Scotland/Finance/Final accounts from STB-2025/[2024_2025_Final_Accounts_Sailability_Scotland_OSCR_FORMAT_Ver01 (1).xlsx]Analysis of Receipts &amp; Payments</v>
      </c>
      <c r="B19" s="46"/>
      <c r="C19" s="46"/>
      <c r="D19" s="46"/>
      <c r="E19" s="46"/>
      <c r="F19" s="46"/>
      <c r="G19" s="46"/>
    </row>
  </sheetData>
  <sheetProtection sheet="1" objects="1" scenarios="1"/>
  <mergeCells count="1">
    <mergeCell ref="A19:G19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0388-84DB-4394-8159-D08AC3D17663}">
  <sheetPr>
    <pageSetUpPr fitToPage="1"/>
  </sheetPr>
  <dimension ref="A1:H13"/>
  <sheetViews>
    <sheetView workbookViewId="0"/>
  </sheetViews>
  <sheetFormatPr defaultRowHeight="14.25" x14ac:dyDescent="0.45"/>
  <cols>
    <col min="1" max="1" width="2.73046875" customWidth="1"/>
    <col min="2" max="3" width="50.73046875" customWidth="1"/>
    <col min="4" max="4" width="13.73046875" customWidth="1"/>
    <col min="5" max="5" width="2.73046875" customWidth="1"/>
    <col min="6" max="6" width="13.73046875" customWidth="1"/>
    <col min="7" max="7" width="2.73046875" customWidth="1"/>
    <col min="8" max="8" width="13.73046875" customWidth="1"/>
  </cols>
  <sheetData>
    <row r="1" spans="1:8" ht="25.5" x14ac:dyDescent="0.75">
      <c r="A1" s="15" t="str">
        <f>range_Name_of_Organisation</f>
        <v>Sailability Scotland SCIO</v>
      </c>
      <c r="B1" s="15"/>
    </row>
    <row r="2" spans="1:8" ht="18" x14ac:dyDescent="0.55000000000000004">
      <c r="A2" s="22" t="s">
        <v>46</v>
      </c>
      <c r="B2" s="22"/>
    </row>
    <row r="3" spans="1:8" ht="18" x14ac:dyDescent="0.55000000000000004">
      <c r="A3" s="22" t="str">
        <f ca="1">MID(CELL("filename",$A$1),FIND("]",CELL("filename",$A$1))+1,LEN(CELL("filename",$A$1))-FIND("]",CELL("filename",$A$1)))</f>
        <v>C2 Grants</v>
      </c>
      <c r="B3" s="22"/>
    </row>
    <row r="5" spans="1:8" ht="28.5" x14ac:dyDescent="0.45">
      <c r="A5" s="12"/>
      <c r="B5" s="4" t="s">
        <v>136</v>
      </c>
      <c r="C5" s="4" t="s">
        <v>137</v>
      </c>
      <c r="D5" s="4" t="s">
        <v>138</v>
      </c>
      <c r="F5" s="4" t="s">
        <v>9</v>
      </c>
      <c r="H5" s="4" t="str">
        <f>i_Year-1&amp;"/"&amp;i_Year</f>
        <v>2023/2024</v>
      </c>
    </row>
    <row r="6" spans="1:8" x14ac:dyDescent="0.45">
      <c r="B6" s="21" t="s">
        <v>139</v>
      </c>
      <c r="C6" s="21" t="s">
        <v>140</v>
      </c>
      <c r="D6" s="23">
        <f>'C2 Grants analysis'!D6</f>
        <v>1</v>
      </c>
      <c r="F6" s="38">
        <f>'C2 Grants analysis'!F6</f>
        <v>250</v>
      </c>
      <c r="H6" s="38">
        <f>'C2 Grants analysis'!H6</f>
        <v>250</v>
      </c>
    </row>
    <row r="7" spans="1:8" ht="28.5" x14ac:dyDescent="0.45">
      <c r="B7" s="21" t="s">
        <v>170</v>
      </c>
      <c r="C7" s="21" t="s">
        <v>141</v>
      </c>
      <c r="D7" s="23">
        <f>'C2 Grants analysis'!D7</f>
        <v>1</v>
      </c>
      <c r="F7" s="38">
        <f>'C2 Grants analysis'!F7</f>
        <v>1500</v>
      </c>
      <c r="H7" s="38">
        <f>'C2 Grants analysis'!H7</f>
        <v>800</v>
      </c>
    </row>
    <row r="8" spans="1:8" x14ac:dyDescent="0.45">
      <c r="B8" s="21" t="s">
        <v>166</v>
      </c>
      <c r="C8" s="21" t="s">
        <v>165</v>
      </c>
      <c r="D8" s="23">
        <f>'C2 Grants analysis'!D8</f>
        <v>1</v>
      </c>
      <c r="F8" s="38">
        <f>'C2 Grants analysis'!F8</f>
        <v>500</v>
      </c>
      <c r="H8" s="38">
        <f>'C2 Grants analysis'!H8</f>
        <v>500</v>
      </c>
    </row>
    <row r="9" spans="1:8" x14ac:dyDescent="0.45">
      <c r="B9" s="21"/>
      <c r="C9" s="21"/>
      <c r="D9" s="23">
        <f>'C2 Grants analysis'!D9</f>
        <v>0</v>
      </c>
      <c r="F9" s="38">
        <f>'C2 Grants analysis'!F9</f>
        <v>0</v>
      </c>
      <c r="H9" s="38">
        <f>'C2 Grants analysis'!H9</f>
        <v>0</v>
      </c>
    </row>
    <row r="10" spans="1:8" x14ac:dyDescent="0.45">
      <c r="B10" s="21"/>
      <c r="C10" s="21"/>
      <c r="D10" s="23">
        <f>'C2 Grants analysis'!D10</f>
        <v>0</v>
      </c>
      <c r="F10" s="38">
        <f>'C2 Grants analysis'!F10</f>
        <v>0</v>
      </c>
      <c r="H10" s="38">
        <f>'C2 Grants analysis'!H10</f>
        <v>0</v>
      </c>
    </row>
    <row r="11" spans="1:8" ht="14.65" thickBot="1" x14ac:dyDescent="0.5">
      <c r="B11" s="21"/>
      <c r="C11" s="21"/>
      <c r="D11" s="24">
        <f>SUM(D6:D10)</f>
        <v>3</v>
      </c>
      <c r="F11" s="39">
        <f>SUM(F6:F10)</f>
        <v>2250</v>
      </c>
      <c r="H11" s="39">
        <f>SUM(H6:H10)</f>
        <v>1550</v>
      </c>
    </row>
    <row r="12" spans="1:8" ht="14.65" thickTop="1" x14ac:dyDescent="0.45">
      <c r="A12" s="23"/>
    </row>
    <row r="13" spans="1:8" ht="30" customHeight="1" x14ac:dyDescent="0.45">
      <c r="A13" s="46" t="str">
        <f ca="1">CELL("filename",$A$1)</f>
        <v>https://d.docs.live.net/91e87eea257872b9/Documents/Sailability Scotland/Finance/Final accounts from STB-2025/[2024_2025_Final_Accounts_Sailability_Scotland_OSCR_FORMAT_Ver01 (1).xlsx]C2 Grants</v>
      </c>
      <c r="B13" s="46"/>
      <c r="C13" s="46"/>
      <c r="D13" s="46"/>
      <c r="E13" s="46"/>
      <c r="F13" s="46"/>
    </row>
  </sheetData>
  <sheetProtection sheet="1" objects="1" scenarios="1"/>
  <mergeCells count="1">
    <mergeCell ref="A13:F13"/>
  </mergeCells>
  <pageMargins left="0.39370078740157499" right="0.39370078740157499" top="0.59055118110236204" bottom="0.78740157480314998" header="0.39370078740157499" footer="0.39370078740157499"/>
  <pageSetup paperSize="9" scale="92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6230-6CF0-4953-895E-34AB6B3BDE33}">
  <sheetPr>
    <pageSetUpPr fitToPage="1"/>
  </sheetPr>
  <dimension ref="A1:H13"/>
  <sheetViews>
    <sheetView workbookViewId="0">
      <selection activeCell="F11" sqref="F11"/>
    </sheetView>
  </sheetViews>
  <sheetFormatPr defaultRowHeight="14.25" x14ac:dyDescent="0.45"/>
  <cols>
    <col min="1" max="1" width="2.73046875" customWidth="1"/>
    <col min="2" max="3" width="50.73046875" customWidth="1"/>
    <col min="4" max="4" width="13.73046875" customWidth="1"/>
    <col min="5" max="5" width="2.73046875" customWidth="1"/>
    <col min="6" max="6" width="13.73046875" customWidth="1"/>
    <col min="7" max="7" width="2.73046875" customWidth="1"/>
    <col min="8" max="8" width="13.73046875" customWidth="1"/>
  </cols>
  <sheetData>
    <row r="1" spans="1:8" ht="25.5" x14ac:dyDescent="0.75">
      <c r="A1" s="15" t="str">
        <f>range_Name_of_Organisation</f>
        <v>Sailability Scotland SCIO</v>
      </c>
      <c r="B1" s="15"/>
    </row>
    <row r="2" spans="1:8" ht="18" x14ac:dyDescent="0.55000000000000004">
      <c r="A2" s="22" t="s">
        <v>46</v>
      </c>
      <c r="B2" s="22"/>
    </row>
    <row r="3" spans="1:8" ht="18" x14ac:dyDescent="0.55000000000000004">
      <c r="A3" s="22" t="str">
        <f ca="1">MID(CELL("filename",$A$1),FIND("]",CELL("filename",$A$1))+1,LEN(CELL("filename",$A$1))-FIND("]",CELL("filename",$A$1)))</f>
        <v>C2 Grants analysis</v>
      </c>
      <c r="B3" s="22"/>
    </row>
    <row r="5" spans="1:8" ht="28.5" x14ac:dyDescent="0.45">
      <c r="A5" s="12"/>
      <c r="B5" s="4" t="s">
        <v>136</v>
      </c>
      <c r="C5" s="4" t="s">
        <v>137</v>
      </c>
      <c r="D5" s="4" t="s">
        <v>138</v>
      </c>
      <c r="F5" s="4" t="s">
        <v>9</v>
      </c>
      <c r="H5" s="4" t="str">
        <f>i_Year-1&amp;"/"&amp;i_Year</f>
        <v>2023/2024</v>
      </c>
    </row>
    <row r="6" spans="1:8" x14ac:dyDescent="0.45">
      <c r="B6" s="21" t="s">
        <v>139</v>
      </c>
      <c r="C6" s="21" t="s">
        <v>140</v>
      </c>
      <c r="D6" s="23">
        <v>1</v>
      </c>
      <c r="F6" s="5">
        <v>250</v>
      </c>
      <c r="H6" s="5">
        <v>250</v>
      </c>
    </row>
    <row r="7" spans="1:8" ht="28.5" x14ac:dyDescent="0.45">
      <c r="B7" s="21" t="s">
        <v>170</v>
      </c>
      <c r="C7" s="21" t="s">
        <v>141</v>
      </c>
      <c r="D7" s="23">
        <v>1</v>
      </c>
      <c r="F7" s="5">
        <v>1500</v>
      </c>
      <c r="H7" s="5">
        <v>800</v>
      </c>
    </row>
    <row r="8" spans="1:8" x14ac:dyDescent="0.45">
      <c r="B8" s="21" t="s">
        <v>166</v>
      </c>
      <c r="C8" s="21" t="s">
        <v>165</v>
      </c>
      <c r="D8" s="23">
        <v>1</v>
      </c>
      <c r="F8" s="5">
        <v>500</v>
      </c>
      <c r="H8" s="5">
        <v>500</v>
      </c>
    </row>
    <row r="9" spans="1:8" x14ac:dyDescent="0.45">
      <c r="B9" s="21"/>
      <c r="C9" s="21"/>
      <c r="D9" s="23"/>
      <c r="F9" s="5"/>
      <c r="H9" s="5"/>
    </row>
    <row r="10" spans="1:8" x14ac:dyDescent="0.45">
      <c r="B10" s="21"/>
      <c r="C10" s="21"/>
      <c r="D10" s="23"/>
      <c r="F10" s="5"/>
      <c r="H10" s="5"/>
    </row>
    <row r="11" spans="1:8" ht="14.65" thickBot="1" x14ac:dyDescent="0.5">
      <c r="B11" s="21"/>
      <c r="C11" s="21"/>
      <c r="D11" s="24">
        <f>SUM(D6:D10)</f>
        <v>3</v>
      </c>
      <c r="F11" s="6">
        <f>SUM(F6:F10)</f>
        <v>2250</v>
      </c>
      <c r="H11" s="6">
        <f>SUM(H6:H10)</f>
        <v>1550</v>
      </c>
    </row>
    <row r="12" spans="1:8" ht="14.65" thickTop="1" x14ac:dyDescent="0.45">
      <c r="A12" s="23"/>
    </row>
    <row r="13" spans="1:8" ht="30" customHeight="1" x14ac:dyDescent="0.45">
      <c r="A13" s="46" t="str">
        <f ca="1">CELL("filename",$A$1)</f>
        <v>https://d.docs.live.net/91e87eea257872b9/Documents/Sailability Scotland/Finance/Final accounts from STB-2025/[2024_2025_Final_Accounts_Sailability_Scotland_OSCR_FORMAT_Ver01 (1).xlsx]C2 Grants analysis</v>
      </c>
      <c r="B13" s="46"/>
      <c r="C13" s="46"/>
      <c r="D13" s="46"/>
      <c r="E13" s="46"/>
      <c r="F13" s="46"/>
    </row>
  </sheetData>
  <sheetProtection sheet="1" objects="1" scenarios="1"/>
  <mergeCells count="1">
    <mergeCell ref="A13:F13"/>
  </mergeCells>
  <pageMargins left="0.39370078740157499" right="0.39370078740157499" top="0.59055118110236204" bottom="0.78740157480314998" header="0.39370078740157499" footer="0.39370078740157499"/>
  <pageSetup paperSize="9" scale="92" fitToHeight="0" orientation="landscape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22D7-DB8A-40AB-BC67-BFBAD385E462}">
  <sheetPr>
    <pageSetUpPr fitToPage="1"/>
  </sheetPr>
  <dimension ref="A1:F9"/>
  <sheetViews>
    <sheetView workbookViewId="0"/>
  </sheetViews>
  <sheetFormatPr defaultRowHeight="14.25" x14ac:dyDescent="0.45"/>
  <cols>
    <col min="1" max="1" width="2.73046875" customWidth="1"/>
    <col min="2" max="2" width="50.73046875" customWidth="1"/>
    <col min="3" max="4" width="13.73046875" customWidth="1"/>
    <col min="5" max="5" width="2.73046875" customWidth="1"/>
    <col min="6" max="6" width="13.73046875" customWidth="1"/>
  </cols>
  <sheetData>
    <row r="1" spans="1:6" ht="25.5" x14ac:dyDescent="0.75">
      <c r="A1" s="15" t="str">
        <f>range_Name_of_Organisation</f>
        <v>Sailability Scotland SCIO</v>
      </c>
      <c r="B1" s="15"/>
    </row>
    <row r="2" spans="1:6" ht="18" x14ac:dyDescent="0.55000000000000004">
      <c r="A2" s="22" t="s">
        <v>46</v>
      </c>
      <c r="B2" s="22"/>
    </row>
    <row r="3" spans="1:6" ht="18" x14ac:dyDescent="0.55000000000000004">
      <c r="A3" s="22" t="str">
        <f ca="1">MID(CELL("filename",$A$1),FIND("]",CELL("filename",$A$1))+1,LEN(CELL("filename",$A$1))-FIND("]",CELL("filename",$A$1)))</f>
        <v>C3b Trustee Renunmeration</v>
      </c>
      <c r="B3" s="22"/>
    </row>
    <row r="5" spans="1:6" ht="28.5" x14ac:dyDescent="0.45">
      <c r="A5" s="12"/>
      <c r="B5" s="4" t="s">
        <v>134</v>
      </c>
      <c r="C5" s="4" t="s">
        <v>57</v>
      </c>
      <c r="D5" s="4" t="s">
        <v>9</v>
      </c>
      <c r="F5" s="4" t="str">
        <f>i_Year-1&amp;"/"&amp;i_Year</f>
        <v>2023/2024</v>
      </c>
    </row>
    <row r="6" spans="1:6" x14ac:dyDescent="0.45">
      <c r="B6" t="s">
        <v>135</v>
      </c>
      <c r="D6" s="38"/>
    </row>
    <row r="7" spans="1:6" x14ac:dyDescent="0.45">
      <c r="A7" s="12"/>
      <c r="B7" s="4"/>
      <c r="C7" s="4"/>
      <c r="D7" s="4"/>
      <c r="F7" s="4"/>
    </row>
    <row r="8" spans="1:6" x14ac:dyDescent="0.45">
      <c r="A8" s="23"/>
    </row>
    <row r="9" spans="1:6" ht="30" customHeight="1" x14ac:dyDescent="0.45">
      <c r="A9" s="46" t="str">
        <f ca="1">CELL("filename",$A$1)</f>
        <v>https://d.docs.live.net/91e87eea257872b9/Documents/Sailability Scotland/Finance/Final accounts from STB-2025/[2024_2025_Final_Accounts_Sailability_Scotland_OSCR_FORMAT_Ver01 (1).xlsx]C3b Trustee Renunmeration</v>
      </c>
      <c r="B9" s="46"/>
      <c r="C9" s="46"/>
      <c r="D9" s="46"/>
      <c r="E9" s="46"/>
      <c r="F9" s="46"/>
    </row>
  </sheetData>
  <sheetProtection sheet="1" objects="1" scenarios="1"/>
  <mergeCells count="1">
    <mergeCell ref="A9:F9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7499-18B2-4A93-815D-ECEE0BADC0A9}">
  <sheetPr>
    <pageSetUpPr fitToPage="1"/>
  </sheetPr>
  <dimension ref="A1:F13"/>
  <sheetViews>
    <sheetView workbookViewId="0"/>
  </sheetViews>
  <sheetFormatPr defaultRowHeight="14.25" x14ac:dyDescent="0.45"/>
  <cols>
    <col min="1" max="1" width="2.73046875" customWidth="1"/>
    <col min="2" max="2" width="50.73046875" customWidth="1"/>
    <col min="3" max="4" width="13.73046875" customWidth="1"/>
    <col min="5" max="5" width="2.73046875" customWidth="1"/>
    <col min="6" max="6" width="13.73046875" customWidth="1"/>
  </cols>
  <sheetData>
    <row r="1" spans="1:6" ht="25.5" x14ac:dyDescent="0.75">
      <c r="A1" s="15" t="str">
        <f>range_Name_of_Organisation</f>
        <v>Sailability Scotland SCIO</v>
      </c>
      <c r="B1" s="15"/>
    </row>
    <row r="2" spans="1:6" ht="18" x14ac:dyDescent="0.55000000000000004">
      <c r="A2" s="22" t="s">
        <v>46</v>
      </c>
      <c r="B2" s="22"/>
    </row>
    <row r="3" spans="1:6" ht="18" x14ac:dyDescent="0.55000000000000004">
      <c r="A3" s="22" t="str">
        <f ca="1">MID(CELL("filename",$A$1),FIND("]",CELL("filename",$A$1))+1,LEN(CELL("filename",$A$1))-FIND("]",CELL("filename",$A$1)))</f>
        <v>C4b Trustee Expenses</v>
      </c>
      <c r="B3" s="22"/>
    </row>
    <row r="5" spans="1:6" ht="28.5" x14ac:dyDescent="0.45">
      <c r="A5" s="12"/>
      <c r="B5" s="4"/>
      <c r="C5" s="4" t="s">
        <v>57</v>
      </c>
      <c r="D5" s="4" t="s">
        <v>9</v>
      </c>
      <c r="F5" s="4" t="str">
        <f>i_Year-1&amp;"/"&amp;i_Year</f>
        <v>2023/2024</v>
      </c>
    </row>
    <row r="6" spans="1:6" x14ac:dyDescent="0.45">
      <c r="A6" s="23"/>
      <c r="B6" s="21" t="str">
        <f>'C4b Trustee Expenses analysis'!B6</f>
        <v>Travel</v>
      </c>
      <c r="C6" s="23">
        <f>'C4b Trustee Expenses analysis'!C6</f>
        <v>0</v>
      </c>
      <c r="D6" s="38">
        <f>'C4b Trustee Expenses analysis'!D6</f>
        <v>0</v>
      </c>
      <c r="F6" s="5">
        <f>'C4b Trustee Expenses analysis'!F6</f>
        <v>0</v>
      </c>
    </row>
    <row r="7" spans="1:6" x14ac:dyDescent="0.45">
      <c r="A7" s="23"/>
      <c r="B7" s="21" t="str">
        <f>'C4b Trustee Expenses analysis'!B7</f>
        <v>Stationery/Printing/Postage/Phone</v>
      </c>
      <c r="C7" s="23">
        <f>'C4b Trustee Expenses analysis'!C7</f>
        <v>0</v>
      </c>
      <c r="D7" s="38">
        <f>'C4b Trustee Expenses analysis'!D7</f>
        <v>0</v>
      </c>
      <c r="F7" s="5">
        <f>'C4b Trustee Expenses analysis'!F7</f>
        <v>228.4</v>
      </c>
    </row>
    <row r="8" spans="1:6" x14ac:dyDescent="0.45">
      <c r="A8" s="23"/>
      <c r="B8" s="21" t="str">
        <f>'C4b Trustee Expenses analysis'!B8</f>
        <v>Fleet maintenance costs</v>
      </c>
      <c r="C8" s="23">
        <f>'C4b Trustee Expenses analysis'!C8</f>
        <v>1</v>
      </c>
      <c r="D8" s="38">
        <f>'C4b Trustee Expenses analysis'!D8</f>
        <v>36.799999999999997</v>
      </c>
      <c r="F8" s="5">
        <f>'C4b Trustee Expenses analysis'!F8</f>
        <v>110.08</v>
      </c>
    </row>
    <row r="9" spans="1:6" x14ac:dyDescent="0.45">
      <c r="A9" s="23"/>
      <c r="B9" s="21" t="str">
        <f>'C4b Trustee Expenses analysis'!B9</f>
        <v>Event costs</v>
      </c>
      <c r="C9" s="23">
        <f>'C4b Trustee Expenses analysis'!C9</f>
        <v>2</v>
      </c>
      <c r="D9" s="38">
        <f>'C4b Trustee Expenses analysis'!D9</f>
        <v>1212.6300000000001</v>
      </c>
      <c r="F9" s="5">
        <f>'C4b Trustee Expenses analysis'!F9</f>
        <v>47.01</v>
      </c>
    </row>
    <row r="10" spans="1:6" ht="14.65" thickBot="1" x14ac:dyDescent="0.5">
      <c r="A10" s="23"/>
      <c r="B10" s="21"/>
      <c r="C10" s="24">
        <f>SUM(C6:C9)</f>
        <v>3</v>
      </c>
      <c r="D10" s="39">
        <f>SUM(D6:D9)</f>
        <v>1249.43</v>
      </c>
      <c r="F10" s="6">
        <f>SUM(F6:F9)</f>
        <v>385.49</v>
      </c>
    </row>
    <row r="11" spans="1:6" ht="14.65" thickTop="1" x14ac:dyDescent="0.45">
      <c r="A11" s="23"/>
    </row>
    <row r="12" spans="1:6" x14ac:dyDescent="0.45">
      <c r="A12" s="23"/>
    </row>
    <row r="13" spans="1:6" ht="30" customHeight="1" x14ac:dyDescent="0.45">
      <c r="A13" s="46" t="str">
        <f ca="1">CELL("filename",$A$1)</f>
        <v>https://d.docs.live.net/91e87eea257872b9/Documents/Sailability Scotland/Finance/Final accounts from STB-2025/[2024_2025_Final_Accounts_Sailability_Scotland_OSCR_FORMAT_Ver01 (1).xlsx]C4b Trustee Expenses</v>
      </c>
      <c r="B13" s="46"/>
      <c r="C13" s="46"/>
      <c r="D13" s="46"/>
      <c r="E13" s="46"/>
      <c r="F13" s="46"/>
    </row>
  </sheetData>
  <sheetProtection sheet="1" objects="1" scenarios="1"/>
  <mergeCells count="1">
    <mergeCell ref="A13:F13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C67E-1956-428A-A040-12B3187355B4}">
  <sheetPr>
    <pageSetUpPr fitToPage="1"/>
  </sheetPr>
  <dimension ref="A1:H29"/>
  <sheetViews>
    <sheetView workbookViewId="0"/>
  </sheetViews>
  <sheetFormatPr defaultRowHeight="14.25" x14ac:dyDescent="0.45"/>
  <cols>
    <col min="1" max="1" width="2.73046875" customWidth="1"/>
    <col min="2" max="2" width="50.73046875" customWidth="1"/>
    <col min="3" max="4" width="13.73046875" customWidth="1"/>
    <col min="5" max="5" width="2.73046875" customWidth="1"/>
    <col min="6" max="6" width="13.73046875" customWidth="1"/>
    <col min="7" max="7" width="10.73046875" customWidth="1"/>
    <col min="8" max="8" width="30.73046875" customWidth="1"/>
  </cols>
  <sheetData>
    <row r="1" spans="1:8" ht="25.5" x14ac:dyDescent="0.75">
      <c r="A1" s="15"/>
      <c r="B1" s="15"/>
    </row>
    <row r="2" spans="1:8" ht="18" x14ac:dyDescent="0.55000000000000004">
      <c r="A2" s="22" t="s">
        <v>46</v>
      </c>
      <c r="B2" s="22"/>
    </row>
    <row r="3" spans="1:8" ht="18" x14ac:dyDescent="0.55000000000000004">
      <c r="A3" s="22" t="str">
        <f ca="1">MID(CELL("filename",$A$1),FIND("]",CELL("filename",$A$1))+1,LEN(CELL("filename",$A$1))-FIND("]",CELL("filename",$A$1)))</f>
        <v>C4b Trustee Expenses analysis</v>
      </c>
      <c r="B3" s="22"/>
    </row>
    <row r="5" spans="1:8" ht="28.5" x14ac:dyDescent="0.45">
      <c r="A5" s="12"/>
      <c r="B5" s="4"/>
      <c r="C5" s="4" t="s">
        <v>57</v>
      </c>
      <c r="D5" s="4" t="s">
        <v>9</v>
      </c>
      <c r="F5" s="4" t="str">
        <f>i_Year-1&amp;"/"&amp;i_Year</f>
        <v>2023/2024</v>
      </c>
    </row>
    <row r="6" spans="1:8" x14ac:dyDescent="0.45">
      <c r="A6" s="23"/>
      <c r="B6" s="21" t="s">
        <v>55</v>
      </c>
      <c r="C6" s="23">
        <v>0</v>
      </c>
      <c r="D6" s="5">
        <v>0</v>
      </c>
      <c r="F6" s="5">
        <v>0</v>
      </c>
    </row>
    <row r="7" spans="1:8" x14ac:dyDescent="0.45">
      <c r="A7" s="23"/>
      <c r="B7" s="21" t="s">
        <v>56</v>
      </c>
      <c r="C7" s="23"/>
      <c r="D7" s="5"/>
      <c r="F7" s="5">
        <v>228.4</v>
      </c>
    </row>
    <row r="8" spans="1:8" x14ac:dyDescent="0.45">
      <c r="A8" s="23"/>
      <c r="B8" s="21" t="s">
        <v>130</v>
      </c>
      <c r="C8" s="23">
        <v>1</v>
      </c>
      <c r="D8" s="5">
        <v>36.799999999999997</v>
      </c>
      <c r="F8" s="5">
        <v>110.08</v>
      </c>
    </row>
    <row r="9" spans="1:8" x14ac:dyDescent="0.45">
      <c r="A9" s="23"/>
      <c r="B9" s="21" t="s">
        <v>131</v>
      </c>
      <c r="C9" s="23">
        <v>2</v>
      </c>
      <c r="D9" s="5">
        <v>1212.6300000000001</v>
      </c>
      <c r="F9" s="5">
        <v>47.01</v>
      </c>
    </row>
    <row r="10" spans="1:8" ht="14.65" thickBot="1" x14ac:dyDescent="0.5">
      <c r="A10" s="23"/>
      <c r="B10" s="21"/>
      <c r="C10" s="24">
        <f>SUM(C6:C9)</f>
        <v>3</v>
      </c>
      <c r="D10" s="6">
        <f>SUM(D6:D9)</f>
        <v>1249.43</v>
      </c>
      <c r="F10" s="6">
        <f>SUM(F6:F9)</f>
        <v>385.49</v>
      </c>
    </row>
    <row r="11" spans="1:8" ht="14.65" thickTop="1" x14ac:dyDescent="0.45">
      <c r="A11" s="23"/>
    </row>
    <row r="12" spans="1:8" x14ac:dyDescent="0.45">
      <c r="A12" s="23"/>
    </row>
    <row r="13" spans="1:8" x14ac:dyDescent="0.45">
      <c r="A13" s="23"/>
      <c r="B13" s="4" t="s">
        <v>121</v>
      </c>
      <c r="C13" s="4" t="s">
        <v>124</v>
      </c>
      <c r="D13" s="4" t="s">
        <v>125</v>
      </c>
      <c r="F13" s="4" t="s">
        <v>9</v>
      </c>
      <c r="G13" s="4" t="s">
        <v>128</v>
      </c>
      <c r="H13" s="4" t="s">
        <v>127</v>
      </c>
    </row>
    <row r="14" spans="1:8" x14ac:dyDescent="0.45">
      <c r="A14" s="23"/>
      <c r="B14" t="s">
        <v>129</v>
      </c>
      <c r="C14" s="37">
        <v>45846</v>
      </c>
      <c r="D14" t="s">
        <v>126</v>
      </c>
      <c r="G14" s="5">
        <v>-36.799999999999997</v>
      </c>
      <c r="H14" t="s">
        <v>123</v>
      </c>
    </row>
    <row r="15" spans="1:8" x14ac:dyDescent="0.45">
      <c r="A15" s="23"/>
      <c r="B15" t="s">
        <v>129</v>
      </c>
      <c r="C15" s="37">
        <v>45778</v>
      </c>
      <c r="D15" t="s">
        <v>126</v>
      </c>
      <c r="G15" s="5">
        <v>-194.13</v>
      </c>
      <c r="H15" t="s">
        <v>171</v>
      </c>
    </row>
    <row r="16" spans="1:8" x14ac:dyDescent="0.45">
      <c r="A16" s="23"/>
      <c r="B16" t="s">
        <v>122</v>
      </c>
      <c r="C16" s="37">
        <v>45770</v>
      </c>
      <c r="D16" t="s">
        <v>126</v>
      </c>
      <c r="G16" s="5">
        <v>-494.08</v>
      </c>
      <c r="H16" t="s">
        <v>172</v>
      </c>
    </row>
    <row r="17" spans="1:8" x14ac:dyDescent="0.45">
      <c r="A17" s="23"/>
      <c r="B17" t="s">
        <v>129</v>
      </c>
      <c r="C17" s="37">
        <v>45778</v>
      </c>
      <c r="D17" t="s">
        <v>126</v>
      </c>
      <c r="G17" s="5">
        <v>-221.85</v>
      </c>
      <c r="H17" t="s">
        <v>172</v>
      </c>
    </row>
    <row r="18" spans="1:8" x14ac:dyDescent="0.45">
      <c r="A18" s="23"/>
      <c r="B18" t="s">
        <v>129</v>
      </c>
      <c r="C18" s="37">
        <v>45846</v>
      </c>
      <c r="D18" t="s">
        <v>126</v>
      </c>
      <c r="G18" s="5">
        <v>-302.57</v>
      </c>
      <c r="H18" t="s">
        <v>172</v>
      </c>
    </row>
    <row r="19" spans="1:8" x14ac:dyDescent="0.45">
      <c r="A19" s="23"/>
      <c r="C19" s="37"/>
      <c r="G19" s="5"/>
    </row>
    <row r="20" spans="1:8" x14ac:dyDescent="0.45">
      <c r="A20" s="23"/>
      <c r="C20" s="37"/>
      <c r="G20" s="5"/>
    </row>
    <row r="21" spans="1:8" x14ac:dyDescent="0.45">
      <c r="A21" s="23"/>
      <c r="C21" s="37"/>
      <c r="G21" s="5"/>
    </row>
    <row r="22" spans="1:8" x14ac:dyDescent="0.45">
      <c r="A22" s="23"/>
      <c r="C22" s="37"/>
      <c r="G22" s="5"/>
    </row>
    <row r="23" spans="1:8" x14ac:dyDescent="0.45">
      <c r="A23" s="23"/>
      <c r="C23" s="37"/>
      <c r="G23" s="5"/>
    </row>
    <row r="24" spans="1:8" x14ac:dyDescent="0.45">
      <c r="A24" s="23"/>
      <c r="C24" s="37"/>
      <c r="G24" s="5"/>
    </row>
    <row r="25" spans="1:8" x14ac:dyDescent="0.45">
      <c r="A25" s="23"/>
      <c r="C25" s="37"/>
      <c r="G25" s="5"/>
    </row>
    <row r="26" spans="1:8" ht="14.65" thickBot="1" x14ac:dyDescent="0.5">
      <c r="A26" s="23"/>
      <c r="C26" s="37"/>
      <c r="G26" s="6">
        <f>SUM(G14:G25)</f>
        <v>-1249.43</v>
      </c>
    </row>
    <row r="27" spans="1:8" ht="14.65" thickTop="1" x14ac:dyDescent="0.45">
      <c r="A27" s="23"/>
      <c r="G27" s="5">
        <f>D10+G26</f>
        <v>0</v>
      </c>
      <c r="H27" t="s">
        <v>132</v>
      </c>
    </row>
    <row r="28" spans="1:8" x14ac:dyDescent="0.45">
      <c r="A28" s="23"/>
      <c r="G28" s="5"/>
    </row>
    <row r="29" spans="1:8" ht="30" customHeight="1" x14ac:dyDescent="0.45">
      <c r="A29" s="46" t="str">
        <f ca="1">CELL("filename",$A$1)</f>
        <v>https://d.docs.live.net/91e87eea257872b9/Documents/Sailability Scotland/Finance/Final accounts from STB-2025/[2024_2025_Final_Accounts_Sailability_Scotland_OSCR_FORMAT_Ver01 (1).xlsx]C4b Trustee Expenses analysis</v>
      </c>
      <c r="B29" s="46"/>
      <c r="C29" s="46"/>
      <c r="D29" s="46"/>
      <c r="E29" s="46"/>
      <c r="F29" s="46"/>
    </row>
  </sheetData>
  <mergeCells count="1">
    <mergeCell ref="A29:F29"/>
  </mergeCells>
  <dataValidations count="1">
    <dataValidation type="list" allowBlank="1" showInputMessage="1" showErrorMessage="1" sqref="D14:D21" xr:uid="{14D2A8EB-6A8E-4DC3-8F5F-8971429DA700}">
      <formula1>"RBS Reserve,RBS Current,PayPal"</formula1>
    </dataValidation>
  </dataValidation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54ED-F8C6-4DB7-BDB0-A775AB774ACC}">
  <sheetPr>
    <pageSetUpPr fitToPage="1"/>
  </sheetPr>
  <dimension ref="A1:I166"/>
  <sheetViews>
    <sheetView zoomScaleNormal="100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D5" sqref="D5"/>
    </sheetView>
  </sheetViews>
  <sheetFormatPr defaultRowHeight="14.25" x14ac:dyDescent="0.45"/>
  <cols>
    <col min="1" max="1" width="1.73046875" customWidth="1"/>
    <col min="2" max="2" width="50.73046875" customWidth="1"/>
    <col min="3" max="3" width="30.73046875" customWidth="1"/>
    <col min="4" max="6" width="13.73046875" style="7" customWidth="1"/>
    <col min="7" max="7" width="1.73046875" style="7" customWidth="1"/>
    <col min="8" max="8" width="13.73046875" style="7" customWidth="1"/>
    <col min="9" max="9" width="13.73046875" customWidth="1"/>
  </cols>
  <sheetData>
    <row r="1" spans="1:8" ht="30" customHeight="1" x14ac:dyDescent="0.75">
      <c r="A1" s="44" t="str">
        <f>range_Name_of_Organisation&amp;CHAR(32)&amp;range_Charity_Number</f>
        <v>Sailability Scotland SCIO SC047162</v>
      </c>
      <c r="B1" s="45"/>
      <c r="C1" s="45"/>
      <c r="D1" s="45"/>
      <c r="E1" s="45"/>
      <c r="F1" s="45"/>
      <c r="G1" s="45"/>
      <c r="H1" s="45"/>
    </row>
    <row r="2" spans="1:8" ht="54.95" customHeight="1" x14ac:dyDescent="0.75">
      <c r="A2" s="44" t="str">
        <f>"SECTION A: RECEIPTS AND PAYMENTS ACCOUNT for the period ended 30th November "&amp;i_Year+1&amp;"."</f>
        <v>SECTION A: RECEIPTS AND PAYMENTS ACCOUNT for the period ended 30th November 2025.</v>
      </c>
      <c r="B2" s="45"/>
      <c r="C2" s="45"/>
      <c r="D2" s="45"/>
      <c r="E2" s="45"/>
      <c r="F2" s="45"/>
      <c r="G2" s="45"/>
      <c r="H2" s="45"/>
    </row>
    <row r="3" spans="1:8" ht="28.5" x14ac:dyDescent="0.45">
      <c r="D3" s="4" t="s">
        <v>40</v>
      </c>
      <c r="E3" s="4" t="s">
        <v>4</v>
      </c>
      <c r="F3" s="4" t="s">
        <v>85</v>
      </c>
      <c r="G3"/>
      <c r="H3" s="4" t="s">
        <v>86</v>
      </c>
    </row>
    <row r="4" spans="1:8" x14ac:dyDescent="0.45">
      <c r="D4"/>
      <c r="E4"/>
      <c r="F4"/>
      <c r="G4"/>
      <c r="H4"/>
    </row>
    <row r="5" spans="1:8" x14ac:dyDescent="0.45">
      <c r="B5" s="11" t="s">
        <v>64</v>
      </c>
      <c r="D5" s="10" t="s">
        <v>0</v>
      </c>
      <c r="E5" s="10" t="s">
        <v>0</v>
      </c>
      <c r="F5" s="10" t="s">
        <v>0</v>
      </c>
      <c r="G5"/>
      <c r="H5" s="10" t="s">
        <v>0</v>
      </c>
    </row>
    <row r="6" spans="1:8" x14ac:dyDescent="0.45">
      <c r="B6" t="s">
        <v>5</v>
      </c>
      <c r="D6" s="23">
        <f>'A1'!H8</f>
        <v>50</v>
      </c>
      <c r="E6" s="23">
        <f>'A1'!I8</f>
        <v>2250</v>
      </c>
      <c r="F6" s="23">
        <f>SUM(D6:E6)</f>
        <v>2300</v>
      </c>
      <c r="G6" s="23"/>
      <c r="H6" s="23">
        <f>'Income &amp; Expenditure Statement'!L9</f>
        <v>1576.25</v>
      </c>
    </row>
    <row r="7" spans="1:8" x14ac:dyDescent="0.45">
      <c r="B7" t="s">
        <v>59</v>
      </c>
      <c r="D7" s="23"/>
      <c r="E7" s="23"/>
      <c r="F7" s="23"/>
      <c r="G7" s="23"/>
      <c r="H7" s="23"/>
    </row>
    <row r="8" spans="1:8" x14ac:dyDescent="0.45">
      <c r="B8" t="s">
        <v>14</v>
      </c>
      <c r="D8" s="23"/>
      <c r="E8" s="23"/>
      <c r="F8" s="23"/>
      <c r="G8" s="23"/>
      <c r="H8" s="23"/>
    </row>
    <row r="9" spans="1:8" x14ac:dyDescent="0.45">
      <c r="B9" t="s">
        <v>62</v>
      </c>
      <c r="D9" s="23">
        <f>'A1'!H11</f>
        <v>166</v>
      </c>
      <c r="E9" s="23"/>
      <c r="F9" s="23">
        <f>SUM(D9:E9)</f>
        <v>166</v>
      </c>
      <c r="G9" s="23"/>
      <c r="H9" s="23">
        <f>'Income &amp; Expenditure Statement'!L10</f>
        <v>18.739999999999998</v>
      </c>
    </row>
    <row r="10" spans="1:8" x14ac:dyDescent="0.45">
      <c r="B10" t="s">
        <v>63</v>
      </c>
      <c r="D10" s="23">
        <f>'A1'!H12</f>
        <v>3060</v>
      </c>
      <c r="E10" s="23"/>
      <c r="F10" s="23">
        <f>SUM(D10:E10)</f>
        <v>3060</v>
      </c>
      <c r="G10" s="23"/>
      <c r="H10" s="23">
        <f>'Income &amp; Expenditure Statement'!L14</f>
        <v>1205</v>
      </c>
    </row>
    <row r="11" spans="1:8" ht="28.5" x14ac:dyDescent="0.45">
      <c r="B11" s="21" t="s">
        <v>60</v>
      </c>
      <c r="D11" s="23">
        <f>'A1'!H13</f>
        <v>176</v>
      </c>
      <c r="E11" s="23"/>
      <c r="F11" s="23">
        <f t="shared" ref="F11:F12" si="0">SUM(D11:E11)</f>
        <v>176</v>
      </c>
      <c r="G11" s="23"/>
      <c r="H11" s="23">
        <f>'Income &amp; Expenditure Statement'!L11</f>
        <v>278.47000000000003</v>
      </c>
    </row>
    <row r="12" spans="1:8" x14ac:dyDescent="0.45">
      <c r="B12" s="21" t="s">
        <v>61</v>
      </c>
      <c r="D12" s="23">
        <f>'A1'!H14</f>
        <v>0</v>
      </c>
      <c r="E12" s="23"/>
      <c r="F12" s="23">
        <f t="shared" si="0"/>
        <v>0</v>
      </c>
      <c r="G12" s="23"/>
      <c r="H12" s="23"/>
    </row>
    <row r="13" spans="1:8" x14ac:dyDescent="0.45">
      <c r="B13" s="21" t="s">
        <v>16</v>
      </c>
      <c r="D13" s="23"/>
      <c r="E13" s="23"/>
      <c r="F13" s="23"/>
      <c r="G13" s="23"/>
      <c r="H13" s="23">
        <f>'Income &amp; Expenditure Statement'!L12</f>
        <v>0</v>
      </c>
    </row>
    <row r="14" spans="1:8" x14ac:dyDescent="0.45">
      <c r="B14" t="s">
        <v>2</v>
      </c>
      <c r="D14" s="23">
        <f>'A1'!H16</f>
        <v>190</v>
      </c>
      <c r="E14" s="23"/>
      <c r="F14" s="23">
        <f>SUM(D14:E14)</f>
        <v>190</v>
      </c>
      <c r="G14" s="23"/>
      <c r="H14" s="23">
        <f>'Income &amp; Expenditure Statement'!L8</f>
        <v>220</v>
      </c>
    </row>
    <row r="15" spans="1:8" x14ac:dyDescent="0.45">
      <c r="D15" s="23"/>
      <c r="E15" s="23"/>
      <c r="F15" s="23"/>
      <c r="G15" s="23"/>
      <c r="H15" s="23"/>
    </row>
    <row r="16" spans="1:8" x14ac:dyDescent="0.45">
      <c r="B16" s="11" t="s">
        <v>68</v>
      </c>
      <c r="D16" s="26">
        <f>SUM(D6:D15)</f>
        <v>3642</v>
      </c>
      <c r="E16" s="26">
        <f>SUM(E6:E15)</f>
        <v>2250</v>
      </c>
      <c r="F16" s="26">
        <f>SUM(F6:F15)</f>
        <v>5892</v>
      </c>
      <c r="G16" s="23"/>
      <c r="H16" s="26">
        <f>SUM(H6:H15)</f>
        <v>3298.46</v>
      </c>
    </row>
    <row r="17" spans="2:8" x14ac:dyDescent="0.45">
      <c r="B17" s="11"/>
      <c r="D17" s="26"/>
      <c r="E17" s="26"/>
      <c r="F17" s="26"/>
      <c r="G17" s="23"/>
      <c r="H17" s="26"/>
    </row>
    <row r="18" spans="2:8" x14ac:dyDescent="0.45">
      <c r="B18" s="11" t="s">
        <v>65</v>
      </c>
      <c r="D18" s="26"/>
      <c r="E18" s="26"/>
      <c r="F18" s="26"/>
      <c r="G18" s="23"/>
      <c r="H18" s="26"/>
    </row>
    <row r="19" spans="2:8" x14ac:dyDescent="0.45">
      <c r="B19" t="s">
        <v>66</v>
      </c>
      <c r="D19" s="26"/>
      <c r="E19" s="26"/>
      <c r="F19" s="26"/>
      <c r="G19" s="23"/>
      <c r="H19" s="26"/>
    </row>
    <row r="20" spans="2:8" x14ac:dyDescent="0.45">
      <c r="B20" t="s">
        <v>67</v>
      </c>
      <c r="D20" s="26"/>
      <c r="E20" s="26"/>
      <c r="F20" s="26"/>
      <c r="G20" s="23"/>
      <c r="H20" s="26"/>
    </row>
    <row r="21" spans="2:8" x14ac:dyDescent="0.45">
      <c r="B21" s="11"/>
      <c r="D21" s="26"/>
      <c r="E21" s="26"/>
      <c r="F21" s="26"/>
      <c r="G21" s="23"/>
      <c r="H21" s="26"/>
    </row>
    <row r="22" spans="2:8" x14ac:dyDescent="0.45">
      <c r="B22" s="11" t="s">
        <v>69</v>
      </c>
      <c r="D22" s="26">
        <f>SUM(D19:D20)</f>
        <v>0</v>
      </c>
      <c r="E22" s="26">
        <f>SUM(E19:E20)</f>
        <v>0</v>
      </c>
      <c r="F22" s="26">
        <f>SUM(F19:F20)</f>
        <v>0</v>
      </c>
      <c r="G22" s="23"/>
      <c r="H22" s="26">
        <f>SUM(H19:H20)</f>
        <v>0</v>
      </c>
    </row>
    <row r="23" spans="2:8" x14ac:dyDescent="0.45">
      <c r="B23" s="11" t="s">
        <v>83</v>
      </c>
      <c r="D23" s="26">
        <f>D16+D22</f>
        <v>3642</v>
      </c>
      <c r="E23" s="26">
        <f>E16+E22</f>
        <v>2250</v>
      </c>
      <c r="F23" s="26">
        <f>F16+F22</f>
        <v>5892</v>
      </c>
      <c r="G23" s="23"/>
      <c r="H23" s="26">
        <f>H16+H22</f>
        <v>3298.46</v>
      </c>
    </row>
    <row r="24" spans="2:8" x14ac:dyDescent="0.45">
      <c r="B24" s="11"/>
      <c r="D24" s="26"/>
      <c r="E24" s="26"/>
      <c r="F24" s="26"/>
      <c r="G24" s="23"/>
      <c r="H24" s="26"/>
    </row>
    <row r="25" spans="2:8" x14ac:dyDescent="0.45">
      <c r="B25" s="11" t="s">
        <v>70</v>
      </c>
      <c r="D25" s="23"/>
      <c r="E25" s="23"/>
      <c r="F25" s="23"/>
      <c r="G25" s="23"/>
      <c r="H25" s="23"/>
    </row>
    <row r="26" spans="2:8" x14ac:dyDescent="0.45">
      <c r="B26" t="s">
        <v>71</v>
      </c>
      <c r="D26" s="23">
        <f>'A1'!H29</f>
        <v>12.41</v>
      </c>
      <c r="E26" s="23"/>
      <c r="F26" s="23">
        <f>SUM(D26:E26)</f>
        <v>12.41</v>
      </c>
      <c r="G26" s="23"/>
      <c r="H26" s="23">
        <f>'Income &amp; Expenditure Statement'!L23</f>
        <v>12.07</v>
      </c>
    </row>
    <row r="27" spans="2:8" x14ac:dyDescent="0.45">
      <c r="B27" t="s">
        <v>72</v>
      </c>
      <c r="D27" s="23">
        <f>'A1'!H30</f>
        <v>818.04</v>
      </c>
      <c r="E27" s="23">
        <f>'A1'!I30</f>
        <v>2529.2200000000003</v>
      </c>
      <c r="F27" s="23">
        <f>SUM(D27:E27)</f>
        <v>3347.26</v>
      </c>
      <c r="G27" s="23"/>
      <c r="H27" s="23">
        <f>'Income &amp; Expenditure Statement'!L19</f>
        <v>1586.99</v>
      </c>
    </row>
    <row r="28" spans="2:8" x14ac:dyDescent="0.45">
      <c r="B28" t="s">
        <v>73</v>
      </c>
      <c r="D28" s="23"/>
      <c r="E28" s="23"/>
      <c r="F28" s="23"/>
      <c r="G28" s="23"/>
      <c r="H28" s="23"/>
    </row>
    <row r="29" spans="2:8" x14ac:dyDescent="0.45">
      <c r="B29" t="s">
        <v>74</v>
      </c>
      <c r="D29" s="23">
        <f>'A1'!H32</f>
        <v>3118.5</v>
      </c>
      <c r="E29" s="23"/>
      <c r="F29" s="23">
        <f>SUM(D29:E29)</f>
        <v>3118.5</v>
      </c>
      <c r="G29" s="23"/>
      <c r="H29" s="23">
        <f>'Income &amp; Expenditure Statement'!L18</f>
        <v>4988.6299999999992</v>
      </c>
    </row>
    <row r="30" spans="2:8" x14ac:dyDescent="0.45">
      <c r="B30" t="s">
        <v>75</v>
      </c>
      <c r="D30" s="23">
        <f>'A1'!H33</f>
        <v>0</v>
      </c>
      <c r="E30" s="23"/>
      <c r="F30" s="23">
        <f>SUM(D30:E30)</f>
        <v>0</v>
      </c>
      <c r="G30" s="23"/>
      <c r="H30" s="23">
        <f>'Income &amp; Expenditure Statement'!L22</f>
        <v>0</v>
      </c>
    </row>
    <row r="31" spans="2:8" x14ac:dyDescent="0.45">
      <c r="B31" t="s">
        <v>13</v>
      </c>
      <c r="D31" s="23">
        <f>'A1'!H34</f>
        <v>0</v>
      </c>
      <c r="E31" s="23"/>
      <c r="F31" s="23">
        <f t="shared" ref="F31:F36" si="1">SUM(D31:E31)</f>
        <v>0</v>
      </c>
      <c r="G31" s="23"/>
      <c r="H31" s="23">
        <f>'Income &amp; Expenditure Statement'!L20</f>
        <v>0</v>
      </c>
    </row>
    <row r="32" spans="2:8" x14ac:dyDescent="0.45">
      <c r="B32" t="s">
        <v>76</v>
      </c>
      <c r="D32" s="23"/>
      <c r="E32" s="23"/>
      <c r="F32" s="23"/>
      <c r="G32" s="23"/>
      <c r="H32" s="23"/>
    </row>
    <row r="33" spans="2:9" x14ac:dyDescent="0.45">
      <c r="B33" t="s">
        <v>77</v>
      </c>
      <c r="D33" s="23"/>
      <c r="E33" s="23"/>
      <c r="F33" s="23"/>
      <c r="G33" s="23"/>
      <c r="H33" s="23"/>
    </row>
    <row r="34" spans="2:9" x14ac:dyDescent="0.45">
      <c r="B34" t="s">
        <v>78</v>
      </c>
      <c r="D34" s="23"/>
      <c r="E34" s="23"/>
      <c r="F34" s="23"/>
      <c r="G34" s="23"/>
      <c r="H34" s="23"/>
    </row>
    <row r="35" spans="2:9" x14ac:dyDescent="0.45">
      <c r="B35" t="s">
        <v>79</v>
      </c>
      <c r="D35" s="23">
        <f>'A1'!H38</f>
        <v>58.1</v>
      </c>
      <c r="E35" s="23"/>
      <c r="F35" s="23">
        <f t="shared" si="1"/>
        <v>58.1</v>
      </c>
      <c r="G35" s="23"/>
      <c r="H35" s="23">
        <f>'Income &amp; Expenditure Statement'!L24</f>
        <v>29.92</v>
      </c>
    </row>
    <row r="36" spans="2:9" x14ac:dyDescent="0.45">
      <c r="B36" t="s">
        <v>35</v>
      </c>
      <c r="D36" s="23">
        <f>'A1'!H39</f>
        <v>0</v>
      </c>
      <c r="E36" s="23"/>
      <c r="F36" s="23">
        <f t="shared" si="1"/>
        <v>0</v>
      </c>
      <c r="G36" s="23"/>
      <c r="H36" s="23">
        <f>'Income &amp; Expenditure Statement'!L21</f>
        <v>0</v>
      </c>
    </row>
    <row r="37" spans="2:9" x14ac:dyDescent="0.45">
      <c r="B37" s="11" t="s">
        <v>80</v>
      </c>
      <c r="D37" s="26">
        <f>SUM(D26:D36)</f>
        <v>4007.0499999999997</v>
      </c>
      <c r="E37" s="26">
        <f>SUM(E26:E36)</f>
        <v>2529.2200000000003</v>
      </c>
      <c r="F37" s="26">
        <f>SUM(F26:F36)</f>
        <v>6536.27</v>
      </c>
      <c r="G37" s="23"/>
      <c r="H37" s="26">
        <f>SUM(H26:H36)</f>
        <v>6617.6099999999988</v>
      </c>
    </row>
    <row r="38" spans="2:9" x14ac:dyDescent="0.45">
      <c r="B38" s="11"/>
      <c r="D38" s="26"/>
      <c r="E38" s="26"/>
      <c r="F38" s="26"/>
      <c r="G38" s="23"/>
      <c r="H38" s="26"/>
    </row>
    <row r="39" spans="2:9" x14ac:dyDescent="0.45">
      <c r="B39" s="11" t="s">
        <v>81</v>
      </c>
      <c r="D39" s="26">
        <f>D37</f>
        <v>4007.0499999999997</v>
      </c>
      <c r="E39" s="26">
        <f>E37</f>
        <v>2529.2200000000003</v>
      </c>
      <c r="F39" s="26">
        <f>F37</f>
        <v>6536.27</v>
      </c>
      <c r="G39" s="23"/>
      <c r="H39" s="26">
        <f>H37</f>
        <v>6617.6099999999988</v>
      </c>
    </row>
    <row r="40" spans="2:9" x14ac:dyDescent="0.45">
      <c r="B40" s="11" t="s">
        <v>82</v>
      </c>
      <c r="D40" s="26">
        <f>D23</f>
        <v>3642</v>
      </c>
      <c r="E40" s="26">
        <f>E23</f>
        <v>2250</v>
      </c>
      <c r="F40" s="26">
        <f>F23</f>
        <v>5892</v>
      </c>
      <c r="G40" s="23"/>
      <c r="H40" s="26">
        <f>H23</f>
        <v>3298.46</v>
      </c>
    </row>
    <row r="41" spans="2:9" x14ac:dyDescent="0.45">
      <c r="D41" s="23"/>
      <c r="E41" s="23"/>
      <c r="F41" s="23"/>
      <c r="G41" s="23"/>
      <c r="H41" s="23"/>
    </row>
    <row r="42" spans="2:9" x14ac:dyDescent="0.45">
      <c r="B42" s="11" t="s">
        <v>84</v>
      </c>
      <c r="D42" s="26">
        <f>D16+-D37</f>
        <v>-365.04999999999973</v>
      </c>
      <c r="E42" s="26">
        <f>E16+-E37</f>
        <v>-279.22000000000025</v>
      </c>
      <c r="F42" s="26">
        <f>F16+-F37</f>
        <v>-644.27000000000044</v>
      </c>
      <c r="G42" s="23"/>
      <c r="H42" s="26">
        <f>H16+-H37</f>
        <v>-3319.1499999999987</v>
      </c>
    </row>
    <row r="43" spans="2:9" x14ac:dyDescent="0.45">
      <c r="E43"/>
      <c r="F43"/>
      <c r="G43"/>
      <c r="H43"/>
    </row>
    <row r="44" spans="2:9" ht="5.0999999999999996" customHeight="1" x14ac:dyDescent="0.45">
      <c r="B44" s="33"/>
      <c r="C44" s="33"/>
      <c r="D44" s="34"/>
      <c r="E44" s="34"/>
      <c r="F44" s="34"/>
      <c r="G44" s="34"/>
      <c r="H44" s="34"/>
    </row>
    <row r="45" spans="2:9" x14ac:dyDescent="0.45">
      <c r="E45"/>
      <c r="F45"/>
      <c r="G45"/>
      <c r="H45"/>
    </row>
    <row r="46" spans="2:9" ht="18" x14ac:dyDescent="0.55000000000000004">
      <c r="B46" s="22" t="s">
        <v>46</v>
      </c>
      <c r="D46"/>
      <c r="E46"/>
      <c r="F46"/>
      <c r="G46"/>
    </row>
    <row r="47" spans="2:9" x14ac:dyDescent="0.45">
      <c r="D47"/>
      <c r="E47"/>
      <c r="F47"/>
      <c r="G47"/>
    </row>
    <row r="48" spans="2:9" ht="29.25" x14ac:dyDescent="0.55000000000000004">
      <c r="B48" s="22" t="s">
        <v>96</v>
      </c>
      <c r="C48" s="22"/>
      <c r="D48" s="4" t="s">
        <v>40</v>
      </c>
      <c r="E48" s="4" t="s">
        <v>4</v>
      </c>
      <c r="F48" s="4" t="s">
        <v>87</v>
      </c>
      <c r="G48"/>
      <c r="H48" s="4" t="s">
        <v>88</v>
      </c>
      <c r="I48" s="7"/>
    </row>
    <row r="49" spans="2:9" x14ac:dyDescent="0.45">
      <c r="B49" s="21" t="s">
        <v>42</v>
      </c>
      <c r="C49" s="21"/>
      <c r="D49" s="23">
        <f>'B1'!B5</f>
        <v>17936.11</v>
      </c>
      <c r="E49" s="23">
        <f>'B1'!C5</f>
        <v>1201.9100000000001</v>
      </c>
      <c r="F49" s="23">
        <f>SUM(D49:E49)</f>
        <v>19138.02</v>
      </c>
      <c r="G49" s="23"/>
      <c r="H49" s="23">
        <f>'B1'!F5</f>
        <v>22457.17</v>
      </c>
      <c r="I49" s="7"/>
    </row>
    <row r="50" spans="2:9" x14ac:dyDescent="0.45">
      <c r="B50" s="21" t="s">
        <v>43</v>
      </c>
      <c r="C50" s="21"/>
      <c r="D50" s="23">
        <f>'B1'!B6</f>
        <v>-365.77999999999975</v>
      </c>
      <c r="E50" s="23">
        <f>'B1'!C6</f>
        <v>-279.22000000000025</v>
      </c>
      <c r="F50" s="23">
        <f>SUM(D50:E50)</f>
        <v>-645</v>
      </c>
      <c r="G50" s="23"/>
      <c r="H50" s="23">
        <f>'B1'!F6</f>
        <v>-3319.1499999999992</v>
      </c>
      <c r="I50" s="7"/>
    </row>
    <row r="51" spans="2:9" x14ac:dyDescent="0.45">
      <c r="B51" s="21" t="s">
        <v>109</v>
      </c>
      <c r="C51" s="21"/>
      <c r="D51" s="23">
        <f>'B1'!B7</f>
        <v>0</v>
      </c>
      <c r="E51" s="23">
        <f>'B1'!C7</f>
        <v>0</v>
      </c>
      <c r="F51" s="23">
        <f>SUM(D51:E51)</f>
        <v>0</v>
      </c>
      <c r="G51" s="23"/>
      <c r="H51" s="23">
        <f>'B1'!F7</f>
        <v>0</v>
      </c>
      <c r="I51" s="7"/>
    </row>
    <row r="52" spans="2:9" x14ac:dyDescent="0.45">
      <c r="B52" s="21"/>
      <c r="C52" s="21"/>
      <c r="D52" s="23"/>
      <c r="E52" s="23"/>
      <c r="F52" s="23"/>
      <c r="G52" s="23"/>
      <c r="H52" s="23"/>
      <c r="I52" s="7"/>
    </row>
    <row r="53" spans="2:9" x14ac:dyDescent="0.45">
      <c r="B53" s="21" t="s">
        <v>89</v>
      </c>
      <c r="C53" s="21"/>
      <c r="D53" s="23">
        <f>'B1'!B9</f>
        <v>0</v>
      </c>
      <c r="E53" s="23">
        <f>'B1'!C9</f>
        <v>0</v>
      </c>
      <c r="F53" s="23">
        <f>SUM(D53:E53)</f>
        <v>0</v>
      </c>
      <c r="G53" s="23"/>
      <c r="H53" s="23">
        <f>'B1'!F9</f>
        <v>0</v>
      </c>
      <c r="I53" s="7"/>
    </row>
    <row r="54" spans="2:9" x14ac:dyDescent="0.45">
      <c r="B54" s="21" t="s">
        <v>148</v>
      </c>
      <c r="C54" s="21"/>
      <c r="D54" s="23">
        <f>'B1'!B10</f>
        <v>0</v>
      </c>
      <c r="E54" s="23">
        <f>'B1'!C10</f>
        <v>0</v>
      </c>
      <c r="F54" s="23">
        <f>SUM(D54:E54)</f>
        <v>0</v>
      </c>
      <c r="G54" s="23"/>
      <c r="H54" s="23">
        <f>'B1'!F10</f>
        <v>0</v>
      </c>
      <c r="I54" s="7"/>
    </row>
    <row r="55" spans="2:9" x14ac:dyDescent="0.45">
      <c r="B55" s="21"/>
      <c r="C55" s="21"/>
      <c r="D55" s="23"/>
      <c r="E55" s="23"/>
      <c r="F55" s="23"/>
      <c r="G55" s="23"/>
      <c r="H55" s="23"/>
      <c r="I55" s="7"/>
    </row>
    <row r="56" spans="2:9" x14ac:dyDescent="0.45">
      <c r="B56" s="27" t="s">
        <v>44</v>
      </c>
      <c r="C56" s="27"/>
      <c r="D56" s="26">
        <f>SUM(D49:D54)</f>
        <v>17570.330000000002</v>
      </c>
      <c r="E56" s="26">
        <f>SUM(E49:E54)</f>
        <v>922.68999999999983</v>
      </c>
      <c r="F56" s="26">
        <f>SUM(F49:F54)</f>
        <v>18493.02</v>
      </c>
      <c r="G56" s="26"/>
      <c r="H56" s="26">
        <f>SUM(H49:H54)</f>
        <v>19138.02</v>
      </c>
      <c r="I56" s="7"/>
    </row>
    <row r="57" spans="2:9" x14ac:dyDescent="0.45">
      <c r="B57" s="27"/>
      <c r="C57" s="27"/>
      <c r="D57" s="29"/>
      <c r="E57" s="29"/>
      <c r="F57" s="29"/>
      <c r="G57" s="28"/>
      <c r="H57" s="29"/>
      <c r="I57" s="7"/>
    </row>
    <row r="58" spans="2:9" x14ac:dyDescent="0.45">
      <c r="B58" s="27"/>
      <c r="C58" s="27"/>
      <c r="D58" s="29"/>
      <c r="E58" s="29"/>
      <c r="F58" s="29"/>
      <c r="G58" s="28"/>
      <c r="H58" s="29"/>
      <c r="I58" s="7"/>
    </row>
    <row r="59" spans="2:9" x14ac:dyDescent="0.45">
      <c r="B59" s="9" t="s">
        <v>168</v>
      </c>
      <c r="C59" s="27"/>
      <c r="D59" s="29"/>
      <c r="E59" s="29"/>
      <c r="F59" s="29"/>
      <c r="G59" s="28"/>
      <c r="H59" s="29"/>
      <c r="I59" s="7"/>
    </row>
    <row r="60" spans="2:9" ht="42.75" x14ac:dyDescent="0.45">
      <c r="B60" s="27"/>
      <c r="C60" s="27"/>
      <c r="D60" s="4" t="str">
        <f>"Balance as at 1st December "&amp;i_Year-1</f>
        <v>Balance as at 1st December 2023</v>
      </c>
      <c r="E60" s="4" t="s">
        <v>156</v>
      </c>
      <c r="F60" s="4" t="s">
        <v>157</v>
      </c>
      <c r="G60" s="4"/>
      <c r="H60" s="4" t="s">
        <v>9</v>
      </c>
      <c r="I60" s="7"/>
    </row>
    <row r="61" spans="2:9" x14ac:dyDescent="0.45">
      <c r="B61" s="12" t="s">
        <v>149</v>
      </c>
      <c r="C61" s="27"/>
      <c r="D61" s="29"/>
      <c r="E61" s="29"/>
      <c r="F61" s="29"/>
      <c r="G61" s="28"/>
      <c r="H61" s="29"/>
      <c r="I61" s="7"/>
    </row>
    <row r="62" spans="2:9" x14ac:dyDescent="0.45">
      <c r="B62" t="s">
        <v>158</v>
      </c>
      <c r="C62" s="27"/>
      <c r="D62" s="23">
        <f>'Movement of Funds'!D9</f>
        <v>19138.02</v>
      </c>
      <c r="E62" s="23">
        <f>'Movement of Funds'!E9</f>
        <v>5891.27</v>
      </c>
      <c r="F62" s="23">
        <f>'Movement of Funds'!F9</f>
        <v>-6536.27</v>
      </c>
      <c r="G62" s="23"/>
      <c r="H62" s="23">
        <f>SUM(D62:F62)</f>
        <v>18493.02</v>
      </c>
      <c r="I62" s="7"/>
    </row>
    <row r="63" spans="2:9" x14ac:dyDescent="0.45">
      <c r="B63" t="s">
        <v>162</v>
      </c>
      <c r="C63" s="27"/>
      <c r="D63" s="23">
        <f>'Movement of Funds'!D10</f>
        <v>0</v>
      </c>
      <c r="E63" s="23">
        <f>'Movement of Funds'!E10</f>
        <v>-2250</v>
      </c>
      <c r="F63" s="23">
        <f>'Movement of Funds'!F10</f>
        <v>2529.2200000000003</v>
      </c>
      <c r="G63" s="23"/>
      <c r="H63" s="23">
        <f>SUM(D63:F63)</f>
        <v>279.22000000000025</v>
      </c>
      <c r="I63" s="7"/>
    </row>
    <row r="64" spans="2:9" x14ac:dyDescent="0.45">
      <c r="C64" s="27"/>
      <c r="D64" s="23"/>
      <c r="E64" s="23"/>
      <c r="F64" s="23"/>
      <c r="G64" s="23"/>
      <c r="H64" s="23"/>
      <c r="I64" s="7"/>
    </row>
    <row r="65" spans="2:9" x14ac:dyDescent="0.45">
      <c r="B65" s="12" t="s">
        <v>150</v>
      </c>
      <c r="C65" s="27"/>
      <c r="D65" s="23"/>
      <c r="E65" s="23"/>
      <c r="F65" s="23"/>
      <c r="G65" s="23"/>
      <c r="H65" s="23"/>
      <c r="I65" s="7"/>
    </row>
    <row r="66" spans="2:9" x14ac:dyDescent="0.45">
      <c r="B66" t="s">
        <v>159</v>
      </c>
      <c r="C66" s="27"/>
      <c r="D66" s="23">
        <f>'Movement of Funds'!D13</f>
        <v>0</v>
      </c>
      <c r="E66" s="23">
        <f>'Movement of Funds'!E13</f>
        <v>0</v>
      </c>
      <c r="F66" s="23">
        <f>'Movement of Funds'!F13</f>
        <v>0</v>
      </c>
      <c r="G66" s="23"/>
      <c r="H66" s="23">
        <f>SUM(D66:F66)</f>
        <v>0</v>
      </c>
      <c r="I66" s="7"/>
    </row>
    <row r="67" spans="2:9" x14ac:dyDescent="0.45">
      <c r="B67" t="s">
        <v>160</v>
      </c>
      <c r="C67" s="27"/>
      <c r="D67" s="23">
        <f>'Movement of Funds'!D14</f>
        <v>0</v>
      </c>
      <c r="E67" s="23">
        <f>'Movement of Funds'!E14</f>
        <v>250</v>
      </c>
      <c r="F67" s="23">
        <f>'Movement of Funds'!F14</f>
        <v>-194.13</v>
      </c>
      <c r="G67" s="23"/>
      <c r="H67" s="23">
        <f t="shared" ref="H67:H69" si="2">SUM(D67:F67)</f>
        <v>55.870000000000005</v>
      </c>
      <c r="I67" s="7"/>
    </row>
    <row r="68" spans="2:9" x14ac:dyDescent="0.45">
      <c r="B68" t="s">
        <v>161</v>
      </c>
      <c r="C68" s="27"/>
      <c r="D68" s="23">
        <f>'Movement of Funds'!D15</f>
        <v>0</v>
      </c>
      <c r="E68" s="23">
        <f>'Movement of Funds'!E15</f>
        <v>1500</v>
      </c>
      <c r="F68" s="23">
        <f>'Movement of Funds'!F15</f>
        <v>-735</v>
      </c>
      <c r="G68" s="23"/>
      <c r="H68" s="23">
        <f t="shared" si="2"/>
        <v>765</v>
      </c>
      <c r="I68" s="7"/>
    </row>
    <row r="69" spans="2:9" x14ac:dyDescent="0.45">
      <c r="B69" t="s">
        <v>165</v>
      </c>
      <c r="C69" s="27"/>
      <c r="D69" s="23">
        <f>'Movement of Funds'!D16</f>
        <v>0</v>
      </c>
      <c r="E69" s="23">
        <f>'Movement of Funds'!E16</f>
        <v>500</v>
      </c>
      <c r="F69" s="23">
        <f>'Movement of Funds'!F16</f>
        <v>-1600.0900000000001</v>
      </c>
      <c r="G69" s="23"/>
      <c r="H69" s="23">
        <f t="shared" si="2"/>
        <v>-1100.0900000000001</v>
      </c>
      <c r="I69" s="7"/>
    </row>
    <row r="70" spans="2:9" x14ac:dyDescent="0.45">
      <c r="C70" s="27"/>
      <c r="D70" s="23"/>
      <c r="E70" s="23"/>
      <c r="F70" s="23"/>
      <c r="G70" s="23"/>
      <c r="H70" s="23"/>
      <c r="I70" s="7"/>
    </row>
    <row r="71" spans="2:9" x14ac:dyDescent="0.45">
      <c r="B71" s="12" t="s">
        <v>164</v>
      </c>
      <c r="C71" s="27"/>
      <c r="D71" s="23"/>
      <c r="E71" s="23"/>
      <c r="F71" s="23"/>
      <c r="G71" s="23"/>
      <c r="H71" s="23"/>
      <c r="I71" s="7"/>
    </row>
    <row r="72" spans="2:9" x14ac:dyDescent="0.45">
      <c r="B72" t="s">
        <v>163</v>
      </c>
      <c r="C72" s="27"/>
      <c r="D72" s="23">
        <f>'Movement of Funds'!D19</f>
        <v>0</v>
      </c>
      <c r="E72" s="23">
        <f>'Movement of Funds'!E19</f>
        <v>0</v>
      </c>
      <c r="F72" s="23">
        <f>'Movement of Funds'!F19</f>
        <v>0</v>
      </c>
      <c r="G72" s="23"/>
      <c r="H72" s="23">
        <f t="shared" ref="H72" si="3">SUM(D72:F72)</f>
        <v>0</v>
      </c>
      <c r="I72" s="7"/>
    </row>
    <row r="73" spans="2:9" x14ac:dyDescent="0.45">
      <c r="B73" s="27"/>
      <c r="C73" s="27"/>
      <c r="D73" s="26">
        <f>SUM(D62:D72)</f>
        <v>19138.02</v>
      </c>
      <c r="E73" s="26">
        <f t="shared" ref="E73:H73" si="4">SUM(E62:E72)</f>
        <v>5891.27</v>
      </c>
      <c r="F73" s="26">
        <f t="shared" si="4"/>
        <v>-6536.27</v>
      </c>
      <c r="G73" s="26"/>
      <c r="H73" s="26">
        <f t="shared" si="4"/>
        <v>18493.02</v>
      </c>
      <c r="I73" s="7"/>
    </row>
    <row r="74" spans="2:9" x14ac:dyDescent="0.45">
      <c r="B74" s="27"/>
      <c r="C74" s="27"/>
      <c r="D74" s="29"/>
      <c r="E74" s="29"/>
      <c r="F74" s="29"/>
      <c r="G74" s="28"/>
      <c r="H74" s="29"/>
      <c r="I74" s="7"/>
    </row>
    <row r="75" spans="2:9" ht="5.0999999999999996" customHeight="1" x14ac:dyDescent="0.45">
      <c r="B75" s="33"/>
      <c r="C75" s="33"/>
      <c r="D75" s="34"/>
      <c r="E75" s="34"/>
      <c r="F75" s="34"/>
      <c r="G75" s="34"/>
      <c r="H75" s="34"/>
    </row>
    <row r="76" spans="2:9" x14ac:dyDescent="0.45">
      <c r="B76" s="21"/>
      <c r="C76" s="21"/>
      <c r="D76" s="28"/>
      <c r="E76" s="28"/>
      <c r="F76" s="28"/>
      <c r="G76" s="28"/>
      <c r="H76" s="28"/>
      <c r="I76" s="7"/>
    </row>
    <row r="77" spans="2:9" ht="18" x14ac:dyDescent="0.55000000000000004">
      <c r="B77" s="22" t="s">
        <v>46</v>
      </c>
      <c r="D77"/>
      <c r="E77"/>
      <c r="F77"/>
      <c r="G77"/>
      <c r="I77" s="7"/>
    </row>
    <row r="78" spans="2:9" ht="29.25" x14ac:dyDescent="0.55000000000000004">
      <c r="B78" s="22" t="s">
        <v>97</v>
      </c>
      <c r="C78" s="22"/>
      <c r="D78" s="4" t="s">
        <v>40</v>
      </c>
      <c r="E78" s="4" t="s">
        <v>4</v>
      </c>
      <c r="F78" s="4" t="s">
        <v>87</v>
      </c>
      <c r="G78"/>
      <c r="H78" s="4" t="s">
        <v>88</v>
      </c>
      <c r="I78" s="7"/>
    </row>
    <row r="79" spans="2:9" x14ac:dyDescent="0.45">
      <c r="B79" s="21" t="s">
        <v>90</v>
      </c>
      <c r="C79" s="21"/>
      <c r="D79" s="23">
        <f>'B2'!B5</f>
        <v>175.77</v>
      </c>
      <c r="E79" s="23">
        <f>'B2'!C5</f>
        <v>0</v>
      </c>
      <c r="F79" s="23">
        <f>SUM(D79:E79)</f>
        <v>175.77</v>
      </c>
      <c r="G79" s="23"/>
      <c r="H79" s="23">
        <f>'B2'!F5</f>
        <v>245</v>
      </c>
      <c r="I79" s="7"/>
    </row>
    <row r="80" spans="2:9" x14ac:dyDescent="0.45">
      <c r="B80" s="21"/>
      <c r="C80" s="21"/>
      <c r="D80" s="28"/>
      <c r="E80" s="28"/>
      <c r="F80" s="28"/>
      <c r="G80" s="28"/>
      <c r="H80" s="28"/>
      <c r="I80" s="7"/>
    </row>
    <row r="81" spans="2:9" x14ac:dyDescent="0.45">
      <c r="B81" s="27" t="s">
        <v>9</v>
      </c>
      <c r="C81" s="27"/>
      <c r="D81" s="26">
        <f>SUM(D79:D79)</f>
        <v>175.77</v>
      </c>
      <c r="E81" s="26">
        <f>SUM(E79:E79)</f>
        <v>0</v>
      </c>
      <c r="F81" s="26">
        <f>SUM(F79:F79)</f>
        <v>175.77</v>
      </c>
      <c r="G81" s="26"/>
      <c r="H81" s="26">
        <f>SUM(H79:H79)</f>
        <v>245</v>
      </c>
      <c r="I81" s="7"/>
    </row>
    <row r="82" spans="2:9" x14ac:dyDescent="0.45">
      <c r="D82"/>
      <c r="I82" s="7"/>
    </row>
    <row r="83" spans="2:9" ht="18" x14ac:dyDescent="0.55000000000000004">
      <c r="B83" s="22" t="s">
        <v>46</v>
      </c>
      <c r="C83" s="22"/>
      <c r="D83" s="22"/>
      <c r="E83"/>
      <c r="F83"/>
      <c r="G83"/>
      <c r="H83"/>
    </row>
    <row r="84" spans="2:9" x14ac:dyDescent="0.45">
      <c r="D84"/>
      <c r="E84"/>
      <c r="F84"/>
      <c r="G84"/>
      <c r="H84"/>
    </row>
    <row r="85" spans="2:9" ht="18" x14ac:dyDescent="0.55000000000000004">
      <c r="B85" s="22" t="s">
        <v>98</v>
      </c>
      <c r="C85" s="22"/>
      <c r="D85" s="22"/>
      <c r="E85"/>
      <c r="F85"/>
      <c r="G85"/>
      <c r="H85"/>
    </row>
    <row r="86" spans="2:9" x14ac:dyDescent="0.45">
      <c r="D86"/>
      <c r="E86"/>
      <c r="F86"/>
      <c r="G86"/>
      <c r="H86"/>
    </row>
    <row r="87" spans="2:9" ht="28.5" x14ac:dyDescent="0.45">
      <c r="B87" s="4" t="s">
        <v>47</v>
      </c>
      <c r="C87" s="4" t="s">
        <v>48</v>
      </c>
      <c r="D87" s="4" t="s">
        <v>94</v>
      </c>
      <c r="E87" s="4" t="s">
        <v>93</v>
      </c>
      <c r="F87" s="4" t="s">
        <v>92</v>
      </c>
      <c r="H87" s="4" t="s">
        <v>9</v>
      </c>
      <c r="I87" s="4" t="s">
        <v>91</v>
      </c>
    </row>
    <row r="88" spans="2:9" x14ac:dyDescent="0.45">
      <c r="B88" s="23" t="str">
        <f>'B3'!B6</f>
        <v>Challenger Dinghies</v>
      </c>
      <c r="C88" s="23">
        <f>'B3'!A6</f>
        <v>14</v>
      </c>
      <c r="D88" s="23" t="str">
        <f>'B3'!C6</f>
        <v>Unrestricted</v>
      </c>
      <c r="E88" s="23">
        <f>'B3'!D6</f>
        <v>0</v>
      </c>
      <c r="F88" s="23">
        <f>'B3'!E6</f>
        <v>10800</v>
      </c>
      <c r="H88" s="23">
        <f>'B3'!F6</f>
        <v>10800</v>
      </c>
      <c r="I88" s="23">
        <f>'B3'!H6</f>
        <v>10800</v>
      </c>
    </row>
    <row r="89" spans="2:9" x14ac:dyDescent="0.45">
      <c r="B89" s="23" t="str">
        <f>'B3'!B7</f>
        <v>Launch trolleys</v>
      </c>
      <c r="C89" s="23">
        <f>'B3'!A7</f>
        <v>14</v>
      </c>
      <c r="D89" s="23" t="str">
        <f>'B3'!C7</f>
        <v>Unrestricted</v>
      </c>
      <c r="E89" s="23">
        <f>'B3'!D7</f>
        <v>0</v>
      </c>
      <c r="F89" s="23">
        <f>'B3'!E7</f>
        <v>2250</v>
      </c>
      <c r="H89" s="23">
        <f>'B3'!F7</f>
        <v>2250</v>
      </c>
      <c r="I89" s="23">
        <f>'B3'!H7</f>
        <v>2250</v>
      </c>
    </row>
    <row r="90" spans="2:9" x14ac:dyDescent="0.45">
      <c r="B90" s="23" t="str">
        <f>'B3'!B8</f>
        <v>Double trailers</v>
      </c>
      <c r="C90" s="23">
        <f>'B3'!A8</f>
        <v>5</v>
      </c>
      <c r="D90" s="23" t="str">
        <f>'B3'!C8</f>
        <v>Unrestricted</v>
      </c>
      <c r="E90" s="23">
        <f>'B3'!D8</f>
        <v>0</v>
      </c>
      <c r="F90" s="23">
        <f>'B3'!E8</f>
        <v>3250</v>
      </c>
      <c r="H90" s="23">
        <f>'B3'!F8</f>
        <v>3250</v>
      </c>
      <c r="I90" s="23">
        <f>'B3'!H8</f>
        <v>3250</v>
      </c>
    </row>
    <row r="91" spans="2:9" x14ac:dyDescent="0.45">
      <c r="B91" s="23" t="str">
        <f>'B3'!B9</f>
        <v>Single trailers</v>
      </c>
      <c r="C91" s="23">
        <f>'B3'!A9</f>
        <v>2</v>
      </c>
      <c r="D91" s="23" t="str">
        <f>'B3'!C9</f>
        <v>Unrestricted</v>
      </c>
      <c r="E91" s="23">
        <f>'B3'!D9</f>
        <v>0</v>
      </c>
      <c r="F91" s="23">
        <f>'B3'!E9</f>
        <v>2250</v>
      </c>
      <c r="H91" s="23">
        <f>'B3'!F9</f>
        <v>2250</v>
      </c>
      <c r="I91" s="23">
        <f>'B3'!H9</f>
        <v>2250</v>
      </c>
    </row>
    <row r="92" spans="2:9" x14ac:dyDescent="0.45">
      <c r="B92" s="23" t="str">
        <f>'B3'!B10</f>
        <v>National Squib Keel boats (and trailers)</v>
      </c>
      <c r="C92" s="23">
        <f>'B3'!A10</f>
        <v>2</v>
      </c>
      <c r="D92" s="23" t="str">
        <f>'B3'!C10</f>
        <v>Unrestricted</v>
      </c>
      <c r="E92" s="23">
        <f>'B3'!D10</f>
        <v>0</v>
      </c>
      <c r="F92" s="23">
        <f>'B3'!E10</f>
        <v>0</v>
      </c>
      <c r="H92" s="23">
        <f>'B3'!F10</f>
        <v>0</v>
      </c>
      <c r="I92" s="23">
        <f>'B3'!H10</f>
        <v>0</v>
      </c>
    </row>
    <row r="93" spans="2:9" x14ac:dyDescent="0.45">
      <c r="B93" s="23" t="str">
        <f>'B3'!B11</f>
        <v>2.4mR Keelboats</v>
      </c>
      <c r="C93" s="23">
        <f>'B3'!A11</f>
        <v>3</v>
      </c>
      <c r="D93" s="23" t="str">
        <f>'B3'!C11</f>
        <v>Unrestricted</v>
      </c>
      <c r="E93" s="23">
        <f>'B3'!D11</f>
        <v>0</v>
      </c>
      <c r="F93" s="23">
        <f>'B3'!E11</f>
        <v>0</v>
      </c>
      <c r="H93" s="23">
        <f>'B3'!F11</f>
        <v>0</v>
      </c>
      <c r="I93" s="23">
        <f>'B3'!H11</f>
        <v>0</v>
      </c>
    </row>
    <row r="94" spans="2:9" x14ac:dyDescent="0.45">
      <c r="B94" s="23" t="str">
        <f>'B3'!B12</f>
        <v>Others</v>
      </c>
      <c r="C94" s="23">
        <f>'B3'!A12</f>
        <v>1</v>
      </c>
      <c r="D94" s="23" t="str">
        <f>'B3'!C12</f>
        <v>Unrestricted</v>
      </c>
      <c r="E94" s="23">
        <f>'B3'!D12</f>
        <v>0</v>
      </c>
      <c r="F94" s="23">
        <f>'B3'!E12</f>
        <v>0</v>
      </c>
      <c r="H94" s="23">
        <f>'B3'!F12</f>
        <v>0</v>
      </c>
      <c r="I94" s="23">
        <f>'B3'!H12</f>
        <v>0</v>
      </c>
    </row>
    <row r="95" spans="2:9" x14ac:dyDescent="0.45">
      <c r="B95" s="23" t="str">
        <f>'B3'!B13</f>
        <v>Virus keelboat</v>
      </c>
      <c r="C95" s="23">
        <f>'B3'!A13</f>
        <v>1</v>
      </c>
      <c r="D95" s="23" t="str">
        <f>'B3'!C13</f>
        <v>Unrestricted</v>
      </c>
      <c r="E95" s="23">
        <f>'B3'!D13</f>
        <v>0</v>
      </c>
      <c r="F95" s="23">
        <f>'B3'!E13</f>
        <v>1200</v>
      </c>
      <c r="H95" s="23">
        <f>'B3'!F13</f>
        <v>1200</v>
      </c>
      <c r="I95" s="23">
        <f>'B3'!H13</f>
        <v>1200</v>
      </c>
    </row>
    <row r="96" spans="2:9" x14ac:dyDescent="0.45">
      <c r="B96" s="23" t="str">
        <f>'B3'!B14</f>
        <v>Virus trailer</v>
      </c>
      <c r="C96" s="23">
        <f>'B3'!A14</f>
        <v>1</v>
      </c>
      <c r="D96" s="23" t="str">
        <f>'B3'!C14</f>
        <v>Unrestricted</v>
      </c>
      <c r="E96" s="23">
        <f>'B3'!D14</f>
        <v>0</v>
      </c>
      <c r="F96" s="23">
        <f>'B3'!E14</f>
        <v>750</v>
      </c>
      <c r="H96" s="23">
        <f>'B3'!F14</f>
        <v>750</v>
      </c>
      <c r="I96" s="23">
        <f>'B3'!H14</f>
        <v>750</v>
      </c>
    </row>
    <row r="97" spans="2:9" x14ac:dyDescent="0.45">
      <c r="B97" s="23" t="str">
        <f>'B3'!B15</f>
        <v>Outboard motor</v>
      </c>
      <c r="C97" s="23">
        <f>'B3'!A15</f>
        <v>1</v>
      </c>
      <c r="D97" s="23" t="str">
        <f>'B3'!C15</f>
        <v>Unrestricted</v>
      </c>
      <c r="E97" s="23">
        <f>'B3'!D15</f>
        <v>0</v>
      </c>
      <c r="F97" s="23">
        <f>'B3'!E15</f>
        <v>300</v>
      </c>
      <c r="H97" s="23">
        <f>'B3'!F15</f>
        <v>300</v>
      </c>
      <c r="I97" s="23">
        <f>'B3'!H15</f>
        <v>300</v>
      </c>
    </row>
    <row r="98" spans="2:9" x14ac:dyDescent="0.45">
      <c r="C98" s="26">
        <f>SUM(C88:C97)</f>
        <v>44</v>
      </c>
      <c r="D98" s="26"/>
      <c r="E98" s="26">
        <f>SUM(E88:E97)</f>
        <v>0</v>
      </c>
      <c r="F98" s="26">
        <f>SUM(F88:F97)</f>
        <v>20800</v>
      </c>
      <c r="G98" s="26"/>
      <c r="H98" s="26">
        <f>SUM(H88:H97)</f>
        <v>20800</v>
      </c>
      <c r="I98" s="26">
        <f>SUM(I88:I97)</f>
        <v>20800</v>
      </c>
    </row>
    <row r="99" spans="2:9" x14ac:dyDescent="0.45">
      <c r="C99" s="26"/>
      <c r="D99" s="21"/>
      <c r="E99" s="29"/>
      <c r="F99" s="29"/>
      <c r="H99" s="29"/>
      <c r="I99" s="29"/>
    </row>
    <row r="100" spans="2:9" ht="5.0999999999999996" customHeight="1" x14ac:dyDescent="0.45">
      <c r="B100" s="33"/>
      <c r="C100" s="33"/>
      <c r="D100" s="34"/>
      <c r="E100" s="34"/>
      <c r="F100" s="34"/>
      <c r="G100" s="34"/>
      <c r="H100" s="34"/>
    </row>
    <row r="102" spans="2:9" ht="18" x14ac:dyDescent="0.55000000000000004">
      <c r="B102" s="22" t="s">
        <v>46</v>
      </c>
      <c r="C102" s="22"/>
      <c r="D102"/>
      <c r="E102"/>
      <c r="F102"/>
      <c r="G102"/>
      <c r="H102"/>
    </row>
    <row r="103" spans="2:9" ht="18" x14ac:dyDescent="0.55000000000000004">
      <c r="B103" s="22" t="s">
        <v>99</v>
      </c>
      <c r="C103" s="22"/>
      <c r="D103"/>
      <c r="E103"/>
      <c r="F103"/>
      <c r="G103"/>
      <c r="H103"/>
    </row>
    <row r="104" spans="2:9" x14ac:dyDescent="0.45">
      <c r="D104"/>
      <c r="E104"/>
      <c r="F104"/>
      <c r="G104"/>
      <c r="H104"/>
    </row>
    <row r="105" spans="2:9" ht="28.5" x14ac:dyDescent="0.45">
      <c r="B105" s="12" t="s">
        <v>49</v>
      </c>
      <c r="C105" s="4"/>
      <c r="D105" s="4" t="s">
        <v>40</v>
      </c>
      <c r="E105" s="4" t="s">
        <v>4</v>
      </c>
      <c r="F105" s="4" t="s">
        <v>9</v>
      </c>
      <c r="G105"/>
      <c r="H105" s="4" t="str">
        <f>'Analysis of Receipts &amp; Payments'!G5</f>
        <v>2023/2024</v>
      </c>
    </row>
    <row r="106" spans="2:9" x14ac:dyDescent="0.45">
      <c r="B106" s="21" t="s">
        <v>50</v>
      </c>
      <c r="D106" s="23">
        <f>'Analysis of Receipts &amp; Payments'!C6</f>
        <v>50</v>
      </c>
      <c r="E106" s="23">
        <f>'Analysis of Receipts &amp; Payments'!D6</f>
        <v>2250</v>
      </c>
      <c r="F106" s="23">
        <f>SUM(D106:E106)</f>
        <v>2300</v>
      </c>
      <c r="G106" s="23"/>
      <c r="H106" s="23">
        <f>'Analysis of Receipts &amp; Payments'!G6</f>
        <v>1576.25</v>
      </c>
    </row>
    <row r="107" spans="2:9" x14ac:dyDescent="0.45">
      <c r="B107" s="21" t="s">
        <v>51</v>
      </c>
      <c r="D107" s="23">
        <f>'Analysis of Receipts &amp; Payments'!C7</f>
        <v>190</v>
      </c>
      <c r="E107" s="23">
        <f>'Analysis of Receipts &amp; Payments'!D7</f>
        <v>0</v>
      </c>
      <c r="F107" s="23">
        <f>SUM(D107:E107)</f>
        <v>190</v>
      </c>
      <c r="G107" s="23"/>
      <c r="H107" s="23">
        <f>'Analysis of Receipts &amp; Payments'!G7</f>
        <v>220</v>
      </c>
    </row>
    <row r="108" spans="2:9" x14ac:dyDescent="0.45">
      <c r="B108" s="21" t="s">
        <v>110</v>
      </c>
      <c r="D108" s="23">
        <f>'Analysis of Receipts &amp; Payments'!C8</f>
        <v>165.96</v>
      </c>
      <c r="E108" s="23">
        <f>'Analysis of Receipts &amp; Payments'!D8</f>
        <v>0</v>
      </c>
      <c r="F108" s="23">
        <f>SUM(D108:E108)</f>
        <v>165.96</v>
      </c>
      <c r="G108" s="23"/>
      <c r="H108" s="23">
        <f>'Analysis of Receipts &amp; Payments'!G8</f>
        <v>18.739999999999998</v>
      </c>
    </row>
    <row r="109" spans="2:9" x14ac:dyDescent="0.45">
      <c r="B109" s="27" t="s">
        <v>9</v>
      </c>
      <c r="D109" s="26">
        <f>SUM(D106:D108)</f>
        <v>405.96000000000004</v>
      </c>
      <c r="E109" s="26">
        <f>SUM(E106:E108)</f>
        <v>2250</v>
      </c>
      <c r="F109" s="26">
        <f>SUM(F106:F108)</f>
        <v>2655.96</v>
      </c>
      <c r="G109" s="26"/>
      <c r="H109" s="26">
        <f>SUM(H106:H108)</f>
        <v>1814.99</v>
      </c>
    </row>
    <row r="110" spans="2:9" x14ac:dyDescent="0.45">
      <c r="B110" s="23"/>
      <c r="D110" s="28"/>
      <c r="E110" s="28"/>
      <c r="F110" s="28"/>
      <c r="G110" s="28"/>
      <c r="H110" s="28"/>
    </row>
    <row r="111" spans="2:9" x14ac:dyDescent="0.45">
      <c r="B111" s="23"/>
      <c r="D111" s="28"/>
      <c r="E111" s="28"/>
      <c r="F111" s="28"/>
      <c r="G111" s="28"/>
      <c r="H111" s="28"/>
    </row>
    <row r="112" spans="2:9" ht="28.5" x14ac:dyDescent="0.45">
      <c r="B112" s="12" t="s">
        <v>52</v>
      </c>
      <c r="C112" s="4"/>
      <c r="D112" s="30" t="s">
        <v>40</v>
      </c>
      <c r="E112" s="30" t="s">
        <v>4</v>
      </c>
      <c r="F112" s="30" t="s">
        <v>9</v>
      </c>
      <c r="G112" s="28"/>
      <c r="H112" s="30" t="str">
        <f>'Analysis of Receipts &amp; Payments'!G12</f>
        <v>2023/2024</v>
      </c>
    </row>
    <row r="113" spans="2:9" x14ac:dyDescent="0.45">
      <c r="B113" s="21" t="s">
        <v>53</v>
      </c>
      <c r="D113" s="23">
        <f>'Analysis of Receipts &amp; Payments'!C13</f>
        <v>0</v>
      </c>
      <c r="E113" s="23">
        <f>'Analysis of Receipts &amp; Payments'!D13</f>
        <v>0</v>
      </c>
      <c r="F113" s="23">
        <f>SUM(D113:E113)</f>
        <v>0</v>
      </c>
      <c r="G113" s="23"/>
      <c r="H113" s="23">
        <f>'Analysis of Receipts &amp; Payments'!G13</f>
        <v>0</v>
      </c>
    </row>
    <row r="114" spans="2:9" x14ac:dyDescent="0.45">
      <c r="B114" s="21" t="s">
        <v>54</v>
      </c>
      <c r="D114" s="23">
        <f>'Analysis of Receipts &amp; Payments'!C14</f>
        <v>931.84</v>
      </c>
      <c r="E114" s="23">
        <f>'Analysis of Receipts &amp; Payments'!D14</f>
        <v>0</v>
      </c>
      <c r="F114" s="23">
        <f>SUM(D114:E114)</f>
        <v>931.84</v>
      </c>
      <c r="G114" s="23"/>
      <c r="H114" s="23">
        <f>'Analysis of Receipts &amp; Payments'!G14</f>
        <v>465.92</v>
      </c>
    </row>
    <row r="115" spans="2:9" x14ac:dyDescent="0.45">
      <c r="B115" s="23"/>
      <c r="C115" s="21"/>
      <c r="D115" s="23"/>
      <c r="E115" s="23"/>
      <c r="F115" s="23"/>
      <c r="G115" s="23"/>
      <c r="H115" s="23"/>
    </row>
    <row r="116" spans="2:9" x14ac:dyDescent="0.45">
      <c r="B116" s="23"/>
      <c r="C116" s="27" t="s">
        <v>9</v>
      </c>
      <c r="D116" s="26">
        <f>SUM(D113:D115)</f>
        <v>931.84</v>
      </c>
      <c r="E116" s="26">
        <f>SUM(E113:E115)</f>
        <v>0</v>
      </c>
      <c r="F116" s="26">
        <f>SUM(F113:F115)</f>
        <v>931.84</v>
      </c>
      <c r="G116" s="26"/>
      <c r="H116" s="26">
        <f>SUM(H113:H115)</f>
        <v>465.92</v>
      </c>
    </row>
    <row r="118" spans="2:9" ht="5.0999999999999996" customHeight="1" x14ac:dyDescent="0.45">
      <c r="B118" s="33"/>
      <c r="C118" s="33"/>
      <c r="D118" s="34"/>
      <c r="E118" s="34"/>
      <c r="F118" s="34"/>
      <c r="G118" s="34"/>
      <c r="H118" s="34"/>
    </row>
    <row r="120" spans="2:9" ht="18" x14ac:dyDescent="0.55000000000000004">
      <c r="B120" s="22" t="s">
        <v>46</v>
      </c>
      <c r="C120" s="22"/>
      <c r="D120"/>
      <c r="E120"/>
      <c r="F120"/>
      <c r="G120"/>
    </row>
    <row r="121" spans="2:9" ht="18" x14ac:dyDescent="0.55000000000000004">
      <c r="B121" s="22"/>
      <c r="C121" s="22"/>
      <c r="D121"/>
      <c r="E121"/>
      <c r="F121"/>
      <c r="G121"/>
    </row>
    <row r="122" spans="2:9" ht="18" x14ac:dyDescent="0.55000000000000004">
      <c r="B122" s="22" t="s">
        <v>142</v>
      </c>
      <c r="C122" s="22"/>
      <c r="D122"/>
      <c r="E122"/>
      <c r="F122"/>
      <c r="G122"/>
    </row>
    <row r="123" spans="2:9" ht="28.5" x14ac:dyDescent="0.45">
      <c r="B123" s="12" t="s">
        <v>136</v>
      </c>
      <c r="C123" s="12" t="s">
        <v>137</v>
      </c>
      <c r="D123" s="4"/>
      <c r="E123" s="4" t="s">
        <v>138</v>
      </c>
      <c r="F123" s="4" t="s">
        <v>9</v>
      </c>
      <c r="G123" s="4"/>
      <c r="H123" s="4" t="str">
        <f>i_Year-1&amp;"/"&amp;i_Year</f>
        <v>2023/2024</v>
      </c>
    </row>
    <row r="124" spans="2:9" x14ac:dyDescent="0.45">
      <c r="B124" s="41" t="str">
        <f>'C2 Grants'!B6</f>
        <v>SOCC-Scottish Open challenger Championships</v>
      </c>
      <c r="C124" s="41" t="str">
        <f>'C2 Grants'!C6</f>
        <v>Hugh Campbell</v>
      </c>
      <c r="D124" s="23"/>
      <c r="E124" s="23">
        <f>'C2 Grants'!D6</f>
        <v>1</v>
      </c>
      <c r="F124" s="23">
        <f>'C2 Grants'!F6</f>
        <v>250</v>
      </c>
      <c r="G124" s="23"/>
      <c r="H124" s="23">
        <f>'C2 Grants'!H6</f>
        <v>250</v>
      </c>
      <c r="I124" s="7"/>
    </row>
    <row r="125" spans="2:9" ht="28.5" x14ac:dyDescent="0.45">
      <c r="B125" s="41" t="str">
        <f>'C2 Grants'!B7</f>
        <v>Grant award for sailor support towards regatta entry fees. 2025.</v>
      </c>
      <c r="C125" s="41" t="str">
        <f>'C2 Grants'!C7</f>
        <v>Thomas Tunnuck Limited</v>
      </c>
      <c r="D125" s="23"/>
      <c r="E125" s="23">
        <f>'C2 Grants'!D7</f>
        <v>1</v>
      </c>
      <c r="F125" s="23">
        <f>'C2 Grants'!F7</f>
        <v>1500</v>
      </c>
      <c r="G125" s="23"/>
      <c r="H125" s="23">
        <f>'C2 Grants'!H7</f>
        <v>800</v>
      </c>
    </row>
    <row r="126" spans="2:9" ht="28.5" x14ac:dyDescent="0.45">
      <c r="B126" s="41" t="str">
        <f>'C2 Grants'!B8</f>
        <v>Support for sailor's towing costs</v>
      </c>
      <c r="C126" s="41" t="str">
        <f>'C2 Grants'!C8</f>
        <v>Seamanship and Pilotage Trust-Clyde Cruising Club</v>
      </c>
      <c r="D126" s="23"/>
      <c r="E126" s="23">
        <f>'C2 Grants'!D8</f>
        <v>1</v>
      </c>
      <c r="F126" s="23">
        <f>'C2 Grants'!F8</f>
        <v>500</v>
      </c>
      <c r="G126" s="23"/>
      <c r="H126" s="23">
        <f>'C2 Grants'!H8</f>
        <v>500</v>
      </c>
    </row>
    <row r="127" spans="2:9" x14ac:dyDescent="0.45">
      <c r="B127" s="23">
        <f>'C2 Grants'!B9</f>
        <v>0</v>
      </c>
      <c r="C127" s="23">
        <f>'C2 Grants'!C9</f>
        <v>0</v>
      </c>
      <c r="D127" s="23"/>
      <c r="E127" s="23">
        <f>'C2 Grants'!D9</f>
        <v>0</v>
      </c>
      <c r="F127" s="23">
        <f>'C2 Grants'!F9</f>
        <v>0</v>
      </c>
      <c r="G127" s="23"/>
      <c r="H127" s="23">
        <f>'C2 Grants'!H9</f>
        <v>0</v>
      </c>
    </row>
    <row r="128" spans="2:9" x14ac:dyDescent="0.45">
      <c r="B128" s="23">
        <f>'C2 Grants'!B10</f>
        <v>0</v>
      </c>
      <c r="C128" s="23">
        <f>'C2 Grants'!C10</f>
        <v>0</v>
      </c>
      <c r="D128" s="23"/>
      <c r="E128" s="23">
        <f>'C2 Grants'!D10</f>
        <v>0</v>
      </c>
      <c r="F128" s="23">
        <f>'C2 Grants'!F10</f>
        <v>0</v>
      </c>
      <c r="G128" s="23"/>
      <c r="H128" s="23">
        <f>'C2 Grants'!H10</f>
        <v>0</v>
      </c>
    </row>
    <row r="129" spans="2:9" ht="14.65" thickBot="1" x14ac:dyDescent="0.5">
      <c r="B129" s="23"/>
      <c r="C129" s="23"/>
      <c r="D129" s="23"/>
      <c r="E129" s="24">
        <f>'C2 Grants'!D11</f>
        <v>3</v>
      </c>
      <c r="F129" s="24">
        <f>'C2 Grants'!F11</f>
        <v>2250</v>
      </c>
      <c r="G129" s="39"/>
      <c r="H129" s="24">
        <f>'C2 Grants'!H11</f>
        <v>1550</v>
      </c>
    </row>
    <row r="130" spans="2:9" ht="14.65" thickTop="1" x14ac:dyDescent="0.45">
      <c r="B130" s="23"/>
      <c r="C130" s="4"/>
      <c r="D130" s="23"/>
      <c r="E130" s="23"/>
      <c r="F130" s="5"/>
      <c r="G130"/>
      <c r="H130" s="23"/>
      <c r="I130" s="7"/>
    </row>
    <row r="131" spans="2:9" x14ac:dyDescent="0.45">
      <c r="B131" s="23"/>
      <c r="C131" s="4"/>
      <c r="D131" s="23"/>
      <c r="E131" s="23"/>
      <c r="F131" s="5"/>
      <c r="G131"/>
      <c r="H131" s="23"/>
      <c r="I131" s="7"/>
    </row>
    <row r="132" spans="2:9" ht="18" x14ac:dyDescent="0.55000000000000004">
      <c r="B132" s="22" t="s">
        <v>100</v>
      </c>
      <c r="C132" s="22"/>
      <c r="D132"/>
      <c r="E132"/>
      <c r="F132"/>
      <c r="G132"/>
    </row>
    <row r="133" spans="2:9" x14ac:dyDescent="0.45">
      <c r="D133"/>
      <c r="E133"/>
      <c r="F133"/>
      <c r="G133"/>
    </row>
    <row r="134" spans="2:9" ht="28.5" x14ac:dyDescent="0.45">
      <c r="B134" s="12"/>
      <c r="C134" s="4"/>
      <c r="D134" s="4" t="s">
        <v>57</v>
      </c>
      <c r="E134" s="4" t="s">
        <v>9</v>
      </c>
      <c r="F134" s="4"/>
      <c r="G134"/>
      <c r="H134" s="4" t="str">
        <f>'C4b Trustee Expenses'!F5</f>
        <v>2023/2024</v>
      </c>
      <c r="I134" s="7"/>
    </row>
    <row r="135" spans="2:9" x14ac:dyDescent="0.45">
      <c r="B135" s="23" t="str">
        <f>'C4b Trustee Expenses'!B6</f>
        <v>Travel</v>
      </c>
      <c r="C135" s="4"/>
      <c r="D135" s="23">
        <f>'C4b Trustee Expenses'!C6</f>
        <v>0</v>
      </c>
      <c r="E135" s="23">
        <f>'C4b Trustee Expenses'!D6</f>
        <v>0</v>
      </c>
      <c r="F135" s="23"/>
      <c r="G135" s="23"/>
      <c r="H135" s="23">
        <f>'C4b Trustee Expenses'!F6</f>
        <v>0</v>
      </c>
      <c r="I135" s="7"/>
    </row>
    <row r="136" spans="2:9" x14ac:dyDescent="0.45">
      <c r="B136" s="23" t="str">
        <f>'C4b Trustee Expenses'!B7</f>
        <v>Stationery/Printing/Postage/Phone</v>
      </c>
      <c r="C136" s="4"/>
      <c r="D136" s="23">
        <f>'C4b Trustee Expenses'!C7</f>
        <v>0</v>
      </c>
      <c r="E136" s="23">
        <f>'C4b Trustee Expenses'!D7</f>
        <v>0</v>
      </c>
      <c r="F136" s="23"/>
      <c r="G136" s="23"/>
      <c r="H136" s="23">
        <f>'C4b Trustee Expenses'!F7</f>
        <v>228.4</v>
      </c>
      <c r="I136" s="7"/>
    </row>
    <row r="137" spans="2:9" x14ac:dyDescent="0.45">
      <c r="B137" s="23" t="str">
        <f>'C4b Trustee Expenses'!B8</f>
        <v>Fleet maintenance costs</v>
      </c>
      <c r="C137" s="4"/>
      <c r="D137" s="23">
        <f>'C4b Trustee Expenses'!C8</f>
        <v>1</v>
      </c>
      <c r="E137" s="23">
        <f>'C4b Trustee Expenses'!D8</f>
        <v>36.799999999999997</v>
      </c>
      <c r="F137" s="23"/>
      <c r="G137" s="23"/>
      <c r="H137" s="23">
        <f>'C4b Trustee Expenses'!F8</f>
        <v>110.08</v>
      </c>
      <c r="I137" s="7"/>
    </row>
    <row r="138" spans="2:9" x14ac:dyDescent="0.45">
      <c r="B138" s="23" t="str">
        <f>'C4b Trustee Expenses'!B9</f>
        <v>Event costs</v>
      </c>
      <c r="C138" s="4"/>
      <c r="D138" s="23">
        <f>'C4b Trustee Expenses'!C9</f>
        <v>2</v>
      </c>
      <c r="E138" s="23">
        <f>'C4b Trustee Expenses'!D9</f>
        <v>1212.6300000000001</v>
      </c>
      <c r="F138" s="23"/>
      <c r="G138" s="23"/>
      <c r="H138" s="23">
        <f>'C4b Trustee Expenses'!F9</f>
        <v>47.01</v>
      </c>
      <c r="I138" s="7"/>
    </row>
    <row r="139" spans="2:9" ht="14.65" thickBot="1" x14ac:dyDescent="0.5">
      <c r="B139" s="23"/>
      <c r="C139" s="4"/>
      <c r="D139" s="24">
        <f>SUM(D135:D138)</f>
        <v>3</v>
      </c>
      <c r="E139" s="24">
        <f>SUM(E135:E138)</f>
        <v>1249.43</v>
      </c>
      <c r="F139" s="31"/>
      <c r="G139"/>
      <c r="H139" s="24">
        <f>SUM(H135:H138)</f>
        <v>385.49</v>
      </c>
      <c r="I139" s="7"/>
    </row>
    <row r="140" spans="2:9" ht="14.65" thickTop="1" x14ac:dyDescent="0.45">
      <c r="B140" s="23"/>
      <c r="C140" s="4"/>
      <c r="D140" s="26"/>
      <c r="E140" s="29"/>
      <c r="F140" s="31"/>
      <c r="G140"/>
      <c r="H140" s="26"/>
      <c r="I140" s="7"/>
    </row>
    <row r="141" spans="2:9" ht="18" x14ac:dyDescent="0.55000000000000004">
      <c r="B141" s="22" t="s">
        <v>155</v>
      </c>
      <c r="C141" s="4"/>
      <c r="D141" s="26"/>
      <c r="E141" s="29"/>
      <c r="F141" s="31"/>
      <c r="G141"/>
      <c r="H141" s="26"/>
      <c r="I141" s="7"/>
    </row>
    <row r="142" spans="2:9" ht="28.5" x14ac:dyDescent="0.45">
      <c r="B142" s="23"/>
      <c r="C142" s="4"/>
      <c r="D142" s="4" t="str">
        <f>D3</f>
        <v>Unrestricted Funds</v>
      </c>
      <c r="E142" s="4" t="str">
        <f>E3</f>
        <v>Restricted Funds</v>
      </c>
      <c r="F142" s="4" t="str">
        <f>F3</f>
        <v>Total Funds Current Period</v>
      </c>
      <c r="G142" s="4"/>
      <c r="H142" s="4" t="str">
        <f>H3</f>
        <v>Total Funds Last Period</v>
      </c>
      <c r="I142" s="7"/>
    </row>
    <row r="143" spans="2:9" x14ac:dyDescent="0.45">
      <c r="B143" s="23" t="str">
        <f>'Gross Trading Receipts'!B6</f>
        <v>Memberships</v>
      </c>
      <c r="C143" s="4"/>
      <c r="D143" s="23">
        <f>'Gross Trading Receipts'!C6</f>
        <v>190</v>
      </c>
      <c r="E143" s="23">
        <f>'Gross Trading Receipts'!D6</f>
        <v>0</v>
      </c>
      <c r="F143" s="23">
        <f>SUM(D143:E143)</f>
        <v>190</v>
      </c>
      <c r="G143" s="23"/>
      <c r="H143" s="23">
        <v>170</v>
      </c>
      <c r="I143" s="7"/>
    </row>
    <row r="144" spans="2:9" x14ac:dyDescent="0.45">
      <c r="B144" s="23" t="str">
        <f>'Gross Trading Receipts'!B7</f>
        <v>Regatta fees</v>
      </c>
      <c r="C144" s="4"/>
      <c r="D144" s="23">
        <f>'Gross Trading Receipts'!C7</f>
        <v>495</v>
      </c>
      <c r="E144" s="23">
        <f>'Gross Trading Receipts'!D7</f>
        <v>0</v>
      </c>
      <c r="F144" s="23">
        <f t="shared" ref="F144:F145" si="5">SUM(D144:E144)</f>
        <v>495</v>
      </c>
      <c r="G144" s="23"/>
      <c r="H144" s="23">
        <v>600</v>
      </c>
      <c r="I144" s="7"/>
    </row>
    <row r="145" spans="2:9" x14ac:dyDescent="0.45">
      <c r="B145" s="23" t="str">
        <f>'Gross Trading Receipts'!B8</f>
        <v>Receipts for dinghy hire</v>
      </c>
      <c r="C145" s="4"/>
      <c r="D145" s="23">
        <f>'Gross Trading Receipts'!C8</f>
        <v>840</v>
      </c>
      <c r="E145" s="23">
        <f>'Gross Trading Receipts'!D8</f>
        <v>0</v>
      </c>
      <c r="F145" s="23">
        <f t="shared" si="5"/>
        <v>840</v>
      </c>
      <c r="G145" s="23"/>
      <c r="H145" s="23">
        <v>660</v>
      </c>
      <c r="I145" s="7"/>
    </row>
    <row r="146" spans="2:9" ht="14.65" thickBot="1" x14ac:dyDescent="0.5">
      <c r="B146" s="23"/>
      <c r="C146" s="4"/>
      <c r="D146" s="24">
        <f>SUM(D143:D145)</f>
        <v>1525</v>
      </c>
      <c r="E146" s="24">
        <f t="shared" ref="E146:H146" si="6">SUM(E143:E145)</f>
        <v>0</v>
      </c>
      <c r="F146" s="24">
        <f t="shared" si="6"/>
        <v>1525</v>
      </c>
      <c r="G146" s="24"/>
      <c r="H146" s="24">
        <f t="shared" si="6"/>
        <v>1430</v>
      </c>
      <c r="I146" s="7"/>
    </row>
    <row r="147" spans="2:9" ht="14.65" thickTop="1" x14ac:dyDescent="0.45">
      <c r="B147" s="23"/>
      <c r="C147" s="4"/>
      <c r="D147" s="26"/>
      <c r="E147" s="29"/>
      <c r="F147" s="31"/>
      <c r="G147"/>
      <c r="H147" s="26"/>
      <c r="I147" s="7"/>
    </row>
    <row r="148" spans="2:9" x14ac:dyDescent="0.45">
      <c r="B148" s="23"/>
      <c r="C148" s="4"/>
      <c r="D148" s="26"/>
      <c r="E148" s="29"/>
      <c r="F148" s="31"/>
      <c r="G148"/>
      <c r="H148" s="26"/>
      <c r="I148" s="7"/>
    </row>
    <row r="149" spans="2:9" ht="18" x14ac:dyDescent="0.55000000000000004">
      <c r="B149" s="22" t="s">
        <v>167</v>
      </c>
      <c r="C149" s="4"/>
      <c r="D149" s="26"/>
      <c r="E149" s="29"/>
      <c r="F149" s="31"/>
      <c r="G149"/>
      <c r="H149" s="26"/>
      <c r="I149" s="7"/>
    </row>
    <row r="150" spans="2:9" ht="28.5" x14ac:dyDescent="0.45">
      <c r="B150" s="23"/>
      <c r="C150" s="4"/>
      <c r="D150" s="4" t="s">
        <v>40</v>
      </c>
      <c r="E150" s="4" t="s">
        <v>4</v>
      </c>
      <c r="F150" s="4" t="s">
        <v>85</v>
      </c>
      <c r="G150"/>
      <c r="H150" s="4" t="s">
        <v>86</v>
      </c>
      <c r="I150" s="7"/>
    </row>
    <row r="151" spans="2:9" x14ac:dyDescent="0.45">
      <c r="B151" s="23" t="s">
        <v>151</v>
      </c>
      <c r="C151" s="4"/>
      <c r="D151" s="23">
        <f>'Analysis of fundraising'!C6</f>
        <v>0</v>
      </c>
      <c r="E151" s="23"/>
      <c r="F151" s="23">
        <f t="shared" ref="F151:F152" si="7">SUM(D151:E151)</f>
        <v>0</v>
      </c>
      <c r="G151" s="23"/>
      <c r="H151" s="23">
        <f>'Analysis of fundraising'!G6</f>
        <v>0</v>
      </c>
      <c r="I151" s="7"/>
    </row>
    <row r="152" spans="2:9" x14ac:dyDescent="0.45">
      <c r="B152" s="23" t="s">
        <v>152</v>
      </c>
      <c r="C152" s="4"/>
      <c r="D152" s="23">
        <f>'Analysis of fundraising'!C7</f>
        <v>15.96</v>
      </c>
      <c r="E152" s="23"/>
      <c r="F152" s="23">
        <f t="shared" si="7"/>
        <v>15.96</v>
      </c>
      <c r="G152" s="23"/>
      <c r="H152" s="23">
        <f>'Analysis of fundraising'!G7</f>
        <v>19</v>
      </c>
      <c r="I152" s="7"/>
    </row>
    <row r="153" spans="2:9" ht="14.65" thickBot="1" x14ac:dyDescent="0.5">
      <c r="B153" s="23"/>
      <c r="C153" s="4"/>
      <c r="D153" s="24">
        <f>SUM(D151:D152)</f>
        <v>15.96</v>
      </c>
      <c r="E153" s="24">
        <f t="shared" ref="E153:H153" si="8">SUM(E151:E152)</f>
        <v>0</v>
      </c>
      <c r="F153" s="24">
        <f t="shared" si="8"/>
        <v>15.96</v>
      </c>
      <c r="G153" s="24"/>
      <c r="H153" s="24">
        <f t="shared" si="8"/>
        <v>19</v>
      </c>
      <c r="I153" s="7"/>
    </row>
    <row r="154" spans="2:9" ht="14.65" thickTop="1" x14ac:dyDescent="0.45">
      <c r="I154" s="7"/>
    </row>
    <row r="155" spans="2:9" ht="5.0999999999999996" customHeight="1" x14ac:dyDescent="0.45">
      <c r="B155" s="33"/>
      <c r="C155" s="33"/>
      <c r="D155" s="34"/>
      <c r="E155" s="34"/>
      <c r="F155" s="34"/>
      <c r="G155" s="34"/>
      <c r="H155" s="34"/>
    </row>
    <row r="156" spans="2:9" x14ac:dyDescent="0.45">
      <c r="I156" s="7"/>
    </row>
    <row r="157" spans="2:9" x14ac:dyDescent="0.45">
      <c r="B157" s="11" t="s">
        <v>101</v>
      </c>
    </row>
    <row r="158" spans="2:9" x14ac:dyDescent="0.45">
      <c r="B158" t="s">
        <v>102</v>
      </c>
    </row>
    <row r="160" spans="2:9" x14ac:dyDescent="0.45">
      <c r="B160" t="s">
        <v>107</v>
      </c>
    </row>
    <row r="165" spans="2:2" x14ac:dyDescent="0.45">
      <c r="B165" t="s">
        <v>108</v>
      </c>
    </row>
    <row r="166" spans="2:2" x14ac:dyDescent="0.45">
      <c r="B166" s="32">
        <f>i_Date_of_Treasurer_Signature</f>
        <v>46027</v>
      </c>
    </row>
  </sheetData>
  <sheetProtection sheet="1"/>
  <mergeCells count="2">
    <mergeCell ref="A1:H1"/>
    <mergeCell ref="A2:H2"/>
  </mergeCells>
  <pageMargins left="0.59055118110236227" right="0.19685039370078741" top="0.59055118110236227" bottom="0.59055118110236227" header="0.39370078740157483" footer="0.39370078740157483"/>
  <pageSetup paperSize="9" scale="72" fitToHeight="0" orientation="portrait" horizontalDpi="4294967293" r:id="rId1"/>
  <headerFooter>
    <oddFooter xml:space="preserve">&amp;L&amp;8&amp;Z
&amp;F&amp;C&amp;"Arial,Regular"&amp;8&amp;A  Page &amp;P of  &amp;N&amp;R&amp;"Arial,Regular"&amp;8  &amp;D &amp;T&amp;6
</oddFooter>
  </headerFooter>
  <rowBreaks count="1" manualBreakCount="1">
    <brk id="82" max="8" man="1"/>
  </rowBreaks>
  <colBreaks count="1" manualBreakCount="1">
    <brk id="1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4A90-7462-4C22-8519-F87DA833A065}">
  <sheetPr>
    <pageSetUpPr fitToPage="1"/>
  </sheetPr>
  <dimension ref="A1:G11"/>
  <sheetViews>
    <sheetView workbookViewId="0"/>
  </sheetViews>
  <sheetFormatPr defaultRowHeight="14.25" x14ac:dyDescent="0.45"/>
  <cols>
    <col min="1" max="1" width="2.73046875" customWidth="1"/>
    <col min="2" max="2" width="50.73046875" customWidth="1"/>
    <col min="3" max="5" width="13.73046875" customWidth="1"/>
    <col min="6" max="6" width="2.73046875" customWidth="1"/>
    <col min="7" max="7" width="13.73046875" customWidth="1"/>
  </cols>
  <sheetData>
    <row r="1" spans="1:7" ht="25.5" x14ac:dyDescent="0.75">
      <c r="A1" s="15" t="str">
        <f>range_Name_of_Organisation</f>
        <v>Sailability Scotland SCIO</v>
      </c>
      <c r="B1" s="15"/>
    </row>
    <row r="2" spans="1:7" ht="18" x14ac:dyDescent="0.55000000000000004">
      <c r="A2" s="22" t="s">
        <v>46</v>
      </c>
      <c r="B2" s="22"/>
    </row>
    <row r="3" spans="1:7" ht="18" x14ac:dyDescent="0.55000000000000004">
      <c r="A3" s="22" t="str">
        <f ca="1">MID(CELL("filename",$A$1),FIND("]",CELL("filename",$A$1))+1,LEN(CELL("filename",$A$1))-FIND("]",CELL("filename",$A$1)))</f>
        <v>Analysis of fundraising</v>
      </c>
      <c r="B3" s="22"/>
    </row>
    <row r="5" spans="1:7" ht="28.5" x14ac:dyDescent="0.45">
      <c r="A5" s="12"/>
      <c r="B5" s="4"/>
      <c r="C5" s="4" t="s">
        <v>149</v>
      </c>
      <c r="D5" s="4" t="s">
        <v>150</v>
      </c>
      <c r="E5" s="4" t="s">
        <v>9</v>
      </c>
      <c r="G5" s="4" t="str">
        <f>i_Year-1&amp;"/"&amp;i_Year</f>
        <v>2023/2024</v>
      </c>
    </row>
    <row r="6" spans="1:7" x14ac:dyDescent="0.45">
      <c r="A6" s="23"/>
      <c r="B6" s="21" t="s">
        <v>151</v>
      </c>
      <c r="C6" s="38"/>
      <c r="D6" s="38"/>
      <c r="E6" s="38">
        <f>SUM(C6:D6)</f>
        <v>0</v>
      </c>
      <c r="G6" s="38">
        <v>0</v>
      </c>
    </row>
    <row r="7" spans="1:7" x14ac:dyDescent="0.45">
      <c r="A7" s="23"/>
      <c r="B7" s="21" t="s">
        <v>152</v>
      </c>
      <c r="C7" s="38">
        <v>15.96</v>
      </c>
      <c r="D7" s="38"/>
      <c r="E7" s="38">
        <f>SUM(C7:D7)</f>
        <v>15.96</v>
      </c>
      <c r="G7" s="38">
        <v>19</v>
      </c>
    </row>
    <row r="8" spans="1:7" ht="14.65" thickBot="1" x14ac:dyDescent="0.5">
      <c r="A8" s="23"/>
      <c r="B8" s="21"/>
      <c r="C8" s="39">
        <f>SUM(C6:C7)</f>
        <v>15.96</v>
      </c>
      <c r="D8" s="39">
        <f>SUM(D6:D7)</f>
        <v>0</v>
      </c>
      <c r="E8" s="39">
        <f>SUM(E6:E7)</f>
        <v>15.96</v>
      </c>
      <c r="G8" s="39">
        <f>SUM(G6:G7)</f>
        <v>19</v>
      </c>
    </row>
    <row r="9" spans="1:7" ht="14.65" thickTop="1" x14ac:dyDescent="0.45">
      <c r="A9" s="23"/>
    </row>
    <row r="10" spans="1:7" x14ac:dyDescent="0.45">
      <c r="A10" s="23"/>
    </row>
    <row r="11" spans="1:7" ht="30" customHeight="1" x14ac:dyDescent="0.45">
      <c r="A11" s="46" t="str">
        <f ca="1">CELL("filename",$A$1)</f>
        <v>https://d.docs.live.net/91e87eea257872b9/Documents/Sailability Scotland/Finance/Final accounts from STB-2025/[2024_2025_Final_Accounts_Sailability_Scotland_OSCR_FORMAT_Ver01 (1).xlsx]Analysis of fundraising</v>
      </c>
      <c r="B11" s="46"/>
      <c r="C11" s="46"/>
      <c r="D11" s="46"/>
      <c r="E11" s="46"/>
      <c r="F11" s="46"/>
      <c r="G11" s="46"/>
    </row>
  </sheetData>
  <sheetProtection sheet="1" objects="1" scenarios="1"/>
  <mergeCells count="1">
    <mergeCell ref="A11:G11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FA86-E665-45AD-939D-C8DAA4E59C49}">
  <dimension ref="A1:A16"/>
  <sheetViews>
    <sheetView workbookViewId="0"/>
  </sheetViews>
  <sheetFormatPr defaultRowHeight="14.25" x14ac:dyDescent="0.45"/>
  <cols>
    <col min="1" max="1" width="10.73046875" customWidth="1"/>
  </cols>
  <sheetData>
    <row r="1" spans="1:1" x14ac:dyDescent="0.45">
      <c r="A1" s="4" t="s">
        <v>105</v>
      </c>
    </row>
    <row r="2" spans="1:1" x14ac:dyDescent="0.45">
      <c r="A2" s="25">
        <v>2024</v>
      </c>
    </row>
    <row r="4" spans="1:1" x14ac:dyDescent="0.45">
      <c r="A4" t="s">
        <v>106</v>
      </c>
    </row>
    <row r="5" spans="1:1" x14ac:dyDescent="0.45">
      <c r="A5" t="str">
        <f>i_Year&amp;"/"&amp;i_Year+1</f>
        <v>2024/2025</v>
      </c>
    </row>
    <row r="7" spans="1:1" x14ac:dyDescent="0.45">
      <c r="A7" t="str">
        <f>"01st December "&amp;i_Year&amp;" to "&amp;"30th November "&amp;i_Year+1</f>
        <v>01st December 2024 to 30th November 2025</v>
      </c>
    </row>
    <row r="9" spans="1:1" x14ac:dyDescent="0.45">
      <c r="A9" s="12" t="s">
        <v>112</v>
      </c>
    </row>
    <row r="10" spans="1:1" x14ac:dyDescent="0.45">
      <c r="A10" t="s">
        <v>111</v>
      </c>
    </row>
    <row r="12" spans="1:1" x14ac:dyDescent="0.45">
      <c r="A12" s="12" t="s">
        <v>113</v>
      </c>
    </row>
    <row r="13" spans="1:1" x14ac:dyDescent="0.45">
      <c r="A13" t="s">
        <v>114</v>
      </c>
    </row>
    <row r="15" spans="1:1" x14ac:dyDescent="0.45">
      <c r="A15" s="12" t="s">
        <v>115</v>
      </c>
    </row>
    <row r="16" spans="1:1" x14ac:dyDescent="0.45">
      <c r="A16" s="43">
        <v>46027</v>
      </c>
    </row>
  </sheetData>
  <sheetProtection sheet="1" objects="1" scenarios="1"/>
  <dataValidations count="1">
    <dataValidation type="list" allowBlank="1" showInputMessage="1" showErrorMessage="1" sqref="A2" xr:uid="{AD097FE3-297A-4270-BE78-DBD53E66DDDF}">
      <formula1>"2013,2014,2015,2016,2017,2018,2019,2020,2021,2022,2023,2024,2025,2026,2027,2028,2029,2030,2031,2032,2033,2034,2035,2036,2037,2038,2039,2040,2041,2042,2043,2044,2045,2046,2048,2049,2050"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B0C6-F09B-44BD-B304-32A7BA2AE9B6}">
  <sheetPr>
    <pageSetUpPr fitToPage="1"/>
  </sheetPr>
  <dimension ref="A1:G21"/>
  <sheetViews>
    <sheetView workbookViewId="0">
      <pane ySplit="6" topLeftCell="A7" activePane="bottomLeft" state="frozen"/>
      <selection pane="bottomLeft" activeCell="B8" sqref="B8"/>
    </sheetView>
  </sheetViews>
  <sheetFormatPr defaultRowHeight="14.25" x14ac:dyDescent="0.45"/>
  <cols>
    <col min="1" max="1" width="4.73046875" customWidth="1"/>
    <col min="2" max="2" width="30.73046875" customWidth="1"/>
    <col min="3" max="3" width="20.73046875" customWidth="1"/>
    <col min="4" max="7" width="13.73046875" style="7" customWidth="1"/>
  </cols>
  <sheetData>
    <row r="1" spans="1:7" ht="30" customHeight="1" x14ac:dyDescent="1.1000000000000001">
      <c r="A1" s="1" t="str">
        <f>range_Name_of_Organisation&amp;CHAR(32)&amp;range_Charity_Number</f>
        <v>Sailability Scotland SCIO SC047162</v>
      </c>
      <c r="B1" s="2"/>
      <c r="C1" s="2"/>
      <c r="D1" s="2"/>
      <c r="E1" s="2"/>
      <c r="F1" s="2"/>
      <c r="G1" s="2"/>
    </row>
    <row r="2" spans="1:7" ht="54.95" customHeight="1" x14ac:dyDescent="1.1000000000000001">
      <c r="A2" s="1" t="str">
        <f>"Statement of Funds as at
30th November "&amp;i_Year+1&amp;"."</f>
        <v>Statement of Funds as at
30th November 2025.</v>
      </c>
      <c r="B2" s="2"/>
      <c r="C2" s="2"/>
      <c r="D2" s="2"/>
      <c r="E2" s="2"/>
      <c r="F2" s="2"/>
      <c r="G2" s="2"/>
    </row>
    <row r="3" spans="1:7" x14ac:dyDescent="0.45">
      <c r="D3"/>
      <c r="E3"/>
      <c r="F3"/>
      <c r="G3"/>
    </row>
    <row r="4" spans="1:7" ht="42.75" x14ac:dyDescent="0.45">
      <c r="D4" s="4" t="str">
        <f>"Balance as at 1st December "&amp;i_Year</f>
        <v>Balance as at 1st December 2024</v>
      </c>
      <c r="E4" s="4" t="s">
        <v>156</v>
      </c>
      <c r="F4" s="4" t="s">
        <v>157</v>
      </c>
      <c r="G4" s="4" t="s">
        <v>9</v>
      </c>
    </row>
    <row r="5" spans="1:7" x14ac:dyDescent="0.45">
      <c r="D5"/>
      <c r="E5"/>
      <c r="F5"/>
      <c r="G5"/>
    </row>
    <row r="6" spans="1:7" x14ac:dyDescent="0.45">
      <c r="D6" s="10" t="s">
        <v>0</v>
      </c>
      <c r="E6" s="10"/>
      <c r="F6" s="10" t="s">
        <v>0</v>
      </c>
      <c r="G6" s="10" t="s">
        <v>0</v>
      </c>
    </row>
    <row r="7" spans="1:7" x14ac:dyDescent="0.45">
      <c r="B7" s="12"/>
    </row>
    <row r="8" spans="1:7" x14ac:dyDescent="0.45">
      <c r="B8" s="12" t="s">
        <v>149</v>
      </c>
    </row>
    <row r="9" spans="1:7" x14ac:dyDescent="0.45">
      <c r="B9" t="s">
        <v>158</v>
      </c>
      <c r="D9" s="7">
        <f>'B1 Cash Funds'!F13</f>
        <v>19138.02</v>
      </c>
      <c r="E9" s="7">
        <f>'[1]Year End Accounts'!$D$13</f>
        <v>5891.27</v>
      </c>
      <c r="F9" s="7">
        <f>-'[1]Year End Accounts'!$D$25</f>
        <v>-6536.27</v>
      </c>
      <c r="G9" s="7">
        <f>SUM(D9:F9)</f>
        <v>18493.02</v>
      </c>
    </row>
    <row r="10" spans="1:7" x14ac:dyDescent="0.45">
      <c r="B10" t="s">
        <v>162</v>
      </c>
      <c r="E10" s="7">
        <f>-SUM(E13:E17)</f>
        <v>-2250</v>
      </c>
      <c r="F10" s="7">
        <f>-SUM(F13:F17)</f>
        <v>2529.2200000000003</v>
      </c>
      <c r="G10" s="7">
        <f>SUM(D10:F10)</f>
        <v>279.22000000000025</v>
      </c>
    </row>
    <row r="12" spans="1:7" x14ac:dyDescent="0.45">
      <c r="B12" s="12" t="s">
        <v>150</v>
      </c>
    </row>
    <row r="13" spans="1:7" x14ac:dyDescent="0.45">
      <c r="B13" t="s">
        <v>159</v>
      </c>
    </row>
    <row r="14" spans="1:7" x14ac:dyDescent="0.45">
      <c r="B14" t="s">
        <v>160</v>
      </c>
      <c r="E14" s="7">
        <v>250</v>
      </c>
      <c r="F14" s="7">
        <v>-194.13</v>
      </c>
      <c r="G14" s="7">
        <f>SUM(D14:F14)</f>
        <v>55.870000000000005</v>
      </c>
    </row>
    <row r="15" spans="1:7" x14ac:dyDescent="0.45">
      <c r="B15" t="s">
        <v>161</v>
      </c>
      <c r="E15" s="7">
        <v>1500</v>
      </c>
      <c r="F15" s="7">
        <v>-735</v>
      </c>
      <c r="G15" s="7">
        <f>SUM(D15:F15)</f>
        <v>765</v>
      </c>
    </row>
    <row r="16" spans="1:7" x14ac:dyDescent="0.45">
      <c r="B16" t="s">
        <v>165</v>
      </c>
      <c r="E16" s="7">
        <v>500</v>
      </c>
      <c r="F16" s="7">
        <v>-1600.0900000000001</v>
      </c>
      <c r="G16" s="7">
        <f>SUM(D16:F16)</f>
        <v>-1100.0900000000001</v>
      </c>
    </row>
    <row r="18" spans="2:7" x14ac:dyDescent="0.45">
      <c r="B18" s="12" t="s">
        <v>164</v>
      </c>
    </row>
    <row r="19" spans="2:7" x14ac:dyDescent="0.45">
      <c r="B19" t="s">
        <v>163</v>
      </c>
    </row>
    <row r="20" spans="2:7" ht="14.65" thickBot="1" x14ac:dyDescent="0.5">
      <c r="D20" s="8">
        <f>SUM(D9:D19)</f>
        <v>19138.02</v>
      </c>
      <c r="E20" s="8">
        <f>SUM(E9:E19)</f>
        <v>5891.27</v>
      </c>
      <c r="F20" s="8">
        <f>SUM(F9:F19)</f>
        <v>-6536.27</v>
      </c>
      <c r="G20" s="8">
        <f>SUM(G9:G19)</f>
        <v>18493.02</v>
      </c>
    </row>
    <row r="21" spans="2:7" ht="14.65" thickTop="1" x14ac:dyDescent="0.45"/>
  </sheetData>
  <sheetProtection sheet="1" objects="1" scenarios="1"/>
  <pageMargins left="0.39370078740157483" right="0.39370078740157483" top="0.59055118110236227" bottom="0.78740157480314965" header="0.39370078740157483" footer="0.39370078740157483"/>
  <pageSetup paperSize="9" orientation="landscape" horizontalDpi="4294967293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EA1F-BC14-4C34-B10F-B15D7E369029}">
  <sheetPr>
    <pageSetUpPr fitToPage="1"/>
  </sheetPr>
  <dimension ref="A1:G12"/>
  <sheetViews>
    <sheetView workbookViewId="0"/>
  </sheetViews>
  <sheetFormatPr defaultRowHeight="14.25" x14ac:dyDescent="0.45"/>
  <cols>
    <col min="1" max="1" width="2.73046875" customWidth="1"/>
    <col min="2" max="2" width="50.73046875" customWidth="1"/>
    <col min="3" max="5" width="13.73046875" customWidth="1"/>
    <col min="6" max="6" width="2.73046875" customWidth="1"/>
    <col min="7" max="7" width="13.73046875" customWidth="1"/>
  </cols>
  <sheetData>
    <row r="1" spans="1:7" ht="25.5" x14ac:dyDescent="0.75">
      <c r="A1" s="15" t="str">
        <f>range_Name_of_Organisation</f>
        <v>Sailability Scotland SCIO</v>
      </c>
      <c r="B1" s="15"/>
    </row>
    <row r="2" spans="1:7" ht="18" x14ac:dyDescent="0.55000000000000004">
      <c r="A2" s="22" t="s">
        <v>46</v>
      </c>
      <c r="B2" s="22"/>
    </row>
    <row r="3" spans="1:7" ht="18" x14ac:dyDescent="0.55000000000000004">
      <c r="A3" s="22" t="str">
        <f ca="1">MID(CELL("filename",$A$1),FIND("]",CELL("filename",$A$1))+1,LEN(CELL("filename",$A$1))-FIND("]",CELL("filename",$A$1)))</f>
        <v>Gross Trading Receipts</v>
      </c>
      <c r="B3" s="22"/>
    </row>
    <row r="5" spans="1:7" ht="28.5" x14ac:dyDescent="0.45">
      <c r="A5" s="12"/>
      <c r="B5" s="4"/>
      <c r="C5" s="4" t="s">
        <v>149</v>
      </c>
      <c r="D5" s="4" t="s">
        <v>150</v>
      </c>
      <c r="E5" s="4" t="s">
        <v>9</v>
      </c>
      <c r="G5" s="4" t="str">
        <f>i_Year-1&amp;"/"&amp;i_Year</f>
        <v>2023/2024</v>
      </c>
    </row>
    <row r="6" spans="1:7" x14ac:dyDescent="0.45">
      <c r="A6" s="23"/>
      <c r="B6" s="21" t="s">
        <v>2</v>
      </c>
      <c r="C6" s="23">
        <f>30+160</f>
        <v>190</v>
      </c>
      <c r="D6" s="23"/>
      <c r="E6" s="23">
        <f>SUM(C6:D6)</f>
        <v>190</v>
      </c>
      <c r="F6" s="23"/>
      <c r="G6" s="23">
        <v>220</v>
      </c>
    </row>
    <row r="7" spans="1:7" x14ac:dyDescent="0.45">
      <c r="A7" s="23"/>
      <c r="B7" s="21" t="s">
        <v>153</v>
      </c>
      <c r="C7" s="23">
        <f>75+420</f>
        <v>495</v>
      </c>
      <c r="D7" s="23"/>
      <c r="E7" s="23">
        <f t="shared" ref="E7:E8" si="0">SUM(C7:D7)</f>
        <v>495</v>
      </c>
      <c r="F7" s="23"/>
      <c r="G7" s="23">
        <v>315</v>
      </c>
    </row>
    <row r="8" spans="1:7" x14ac:dyDescent="0.45">
      <c r="A8" s="23"/>
      <c r="B8" s="21" t="s">
        <v>169</v>
      </c>
      <c r="C8" s="23">
        <f>220+620</f>
        <v>840</v>
      </c>
      <c r="D8" s="23"/>
      <c r="E8" s="23">
        <f t="shared" si="0"/>
        <v>840</v>
      </c>
      <c r="F8" s="23"/>
      <c r="G8" s="23">
        <v>610</v>
      </c>
    </row>
    <row r="9" spans="1:7" ht="14.65" thickBot="1" x14ac:dyDescent="0.5">
      <c r="A9" s="23"/>
      <c r="B9" s="21"/>
      <c r="C9" s="24">
        <f>SUM(C6:C8)</f>
        <v>1525</v>
      </c>
      <c r="D9" s="24">
        <f>SUM(D6:D8)</f>
        <v>0</v>
      </c>
      <c r="E9" s="24">
        <f>SUM(E6:E8)</f>
        <v>1525</v>
      </c>
      <c r="F9" s="24"/>
      <c r="G9" s="24">
        <f>SUM(G6:G8)</f>
        <v>1145</v>
      </c>
    </row>
    <row r="10" spans="1:7" ht="14.65" thickTop="1" x14ac:dyDescent="0.45">
      <c r="A10" s="23"/>
    </row>
    <row r="11" spans="1:7" x14ac:dyDescent="0.45">
      <c r="A11" s="23"/>
    </row>
    <row r="12" spans="1:7" ht="30" customHeight="1" x14ac:dyDescent="0.45">
      <c r="A12" s="46" t="str">
        <f ca="1">CELL("filename",$A$1)</f>
        <v>https://d.docs.live.net/91e87eea257872b9/Documents/Sailability Scotland/Finance/Final accounts from STB-2025/[2024_2025_Final_Accounts_Sailability_Scotland_OSCR_FORMAT_Ver01 (1).xlsx]Gross Trading Receipts</v>
      </c>
      <c r="B12" s="46"/>
      <c r="C12" s="46"/>
      <c r="D12" s="46"/>
      <c r="E12" s="46"/>
      <c r="F12" s="46"/>
      <c r="G12" s="46"/>
    </row>
  </sheetData>
  <sheetProtection sheet="1" objects="1" scenarios="1"/>
  <mergeCells count="1">
    <mergeCell ref="A12:G12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E1D5-C140-4295-90E1-6005B2BEAC98}">
  <sheetPr>
    <pageSetUpPr fitToPage="1"/>
  </sheetPr>
  <dimension ref="A1:O28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H27" sqref="H27"/>
    </sheetView>
  </sheetViews>
  <sheetFormatPr defaultRowHeight="14.25" outlineLevelCol="1" x14ac:dyDescent="0.45"/>
  <cols>
    <col min="1" max="1" width="1.73046875" customWidth="1"/>
    <col min="2" max="2" width="10.73046875" customWidth="1"/>
    <col min="3" max="3" width="12.73046875" customWidth="1"/>
    <col min="4" max="7" width="13.73046875" style="7" hidden="1" customWidth="1" outlineLevel="1"/>
    <col min="8" max="8" width="13.73046875" style="7" customWidth="1" collapsed="1"/>
    <col min="9" max="10" width="13.73046875" style="7" customWidth="1"/>
    <col min="11" max="11" width="1.73046875" style="7" customWidth="1"/>
    <col min="12" max="12" width="13.73046875" style="7" customWidth="1"/>
    <col min="13" max="13" width="1.73046875" customWidth="1"/>
    <col min="14" max="14" width="13.73046875" style="7" customWidth="1"/>
    <col min="15" max="15" width="7.73046875" customWidth="1"/>
  </cols>
  <sheetData>
    <row r="1" spans="1:15" ht="30" customHeight="1" x14ac:dyDescent="1.1000000000000001">
      <c r="A1" s="1" t="str">
        <f>range_Name_of_Organisation&amp;CHAR(32)&amp;range_Charity_Number</f>
        <v>Sailability Scotland SCIO SC047162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18"/>
      <c r="N1" s="2"/>
      <c r="O1" s="18"/>
    </row>
    <row r="2" spans="1:15" ht="26.25" customHeight="1" x14ac:dyDescent="0.75">
      <c r="A2" s="47" t="s">
        <v>144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2.75" x14ac:dyDescent="0.45">
      <c r="D3" s="4" t="s">
        <v>36</v>
      </c>
      <c r="E3" s="4" t="s">
        <v>37</v>
      </c>
      <c r="F3" s="4" t="s">
        <v>103</v>
      </c>
      <c r="G3" s="4" t="s">
        <v>58</v>
      </c>
      <c r="H3" s="4" t="s">
        <v>40</v>
      </c>
      <c r="I3" s="4" t="s">
        <v>4</v>
      </c>
      <c r="J3" s="17" t="str">
        <f>"Total "&amp;i_Year&amp;"/"&amp;i_Year+1</f>
        <v>Total 2024/2025</v>
      </c>
      <c r="K3"/>
      <c r="L3" s="17" t="str">
        <f>i_Year-1&amp;"/"&amp;i_Year</f>
        <v>2023/2024</v>
      </c>
      <c r="N3" s="17" t="str">
        <f>i_Year&amp;"/"&amp;i_Year+1&amp;" Delta"</f>
        <v>2024/2025 Delta</v>
      </c>
      <c r="O3" s="18"/>
    </row>
    <row r="4" spans="1:15" x14ac:dyDescent="0.45">
      <c r="D4"/>
      <c r="E4"/>
      <c r="F4"/>
      <c r="G4"/>
      <c r="H4"/>
      <c r="I4"/>
      <c r="J4"/>
      <c r="K4"/>
      <c r="L4"/>
      <c r="N4"/>
    </row>
    <row r="5" spans="1:15" x14ac:dyDescent="0.45">
      <c r="D5" s="10" t="s">
        <v>0</v>
      </c>
      <c r="E5" s="10" t="s">
        <v>0</v>
      </c>
      <c r="F5" s="10"/>
      <c r="G5" s="10"/>
      <c r="H5" s="10"/>
      <c r="I5" s="10" t="s">
        <v>0</v>
      </c>
      <c r="J5" s="10" t="s">
        <v>0</v>
      </c>
      <c r="K5"/>
      <c r="L5" s="10" t="s">
        <v>0</v>
      </c>
      <c r="N5" s="10" t="s">
        <v>0</v>
      </c>
      <c r="O5" s="10" t="s">
        <v>39</v>
      </c>
    </row>
    <row r="6" spans="1:15" x14ac:dyDescent="0.45">
      <c r="D6"/>
      <c r="E6"/>
      <c r="F6"/>
      <c r="G6"/>
      <c r="H6"/>
      <c r="I6"/>
      <c r="J6"/>
      <c r="K6"/>
      <c r="L6"/>
      <c r="N6"/>
    </row>
    <row r="7" spans="1:15" x14ac:dyDescent="0.45">
      <c r="B7" s="12" t="s">
        <v>1</v>
      </c>
      <c r="J7"/>
      <c r="K7"/>
      <c r="L7"/>
      <c r="N7"/>
    </row>
    <row r="8" spans="1:15" x14ac:dyDescent="0.45">
      <c r="B8" t="s">
        <v>2</v>
      </c>
      <c r="F8" s="7">
        <f>'[1]Year End Accounts'!$D$7</f>
        <v>190</v>
      </c>
      <c r="H8" s="7">
        <f t="shared" ref="H8:H14" si="0">SUM(D8:G8)</f>
        <v>190</v>
      </c>
      <c r="J8" s="7">
        <f t="shared" ref="J8:J14" si="1">SUM(H8:I8)</f>
        <v>190</v>
      </c>
      <c r="K8"/>
      <c r="L8" s="7">
        <v>220</v>
      </c>
      <c r="N8" s="7">
        <f t="shared" ref="N8:N14" si="2">$J8+-$L8</f>
        <v>-30</v>
      </c>
      <c r="O8" s="19">
        <f t="shared" ref="O8:O15" si="3">IF(AND($J8=0,$L8=0),0,IF(AND($J8&gt;0,$L8=0),1,IF(AND($J8=0,$L8&gt;0),-1,($J8/$L8)-1)))</f>
        <v>-0.13636363636363635</v>
      </c>
    </row>
    <row r="9" spans="1:15" x14ac:dyDescent="0.45">
      <c r="B9" t="s">
        <v>5</v>
      </c>
      <c r="F9" s="7">
        <f>'[1]Year End Accounts'!$D$8</f>
        <v>2300</v>
      </c>
      <c r="G9" s="7">
        <v>-2250</v>
      </c>
      <c r="H9" s="7">
        <f t="shared" si="0"/>
        <v>50</v>
      </c>
      <c r="I9" s="7">
        <f>-G9</f>
        <v>2250</v>
      </c>
      <c r="J9" s="7">
        <f t="shared" si="1"/>
        <v>2300</v>
      </c>
      <c r="K9"/>
      <c r="L9" s="7">
        <v>1576.25</v>
      </c>
      <c r="N9" s="7">
        <f t="shared" si="2"/>
        <v>723.75</v>
      </c>
      <c r="O9" s="19">
        <f t="shared" si="3"/>
        <v>0.45915939730372712</v>
      </c>
    </row>
    <row r="10" spans="1:15" x14ac:dyDescent="0.45">
      <c r="B10" t="s">
        <v>6</v>
      </c>
      <c r="F10" s="7">
        <f>'[1]Year End Accounts'!$D$9</f>
        <v>165.96</v>
      </c>
      <c r="H10" s="7">
        <f t="shared" si="0"/>
        <v>165.96</v>
      </c>
      <c r="J10" s="7">
        <f t="shared" si="1"/>
        <v>165.96</v>
      </c>
      <c r="K10"/>
      <c r="L10" s="7">
        <v>18.739999999999998</v>
      </c>
      <c r="N10" s="7">
        <f t="shared" si="2"/>
        <v>147.22</v>
      </c>
      <c r="O10" s="19">
        <f t="shared" si="3"/>
        <v>7.8559231590181433</v>
      </c>
    </row>
    <row r="11" spans="1:15" x14ac:dyDescent="0.45">
      <c r="B11" t="s">
        <v>7</v>
      </c>
      <c r="F11" s="7">
        <f>'[1]Year End Accounts'!$D$10</f>
        <v>175.77</v>
      </c>
      <c r="H11" s="7">
        <f t="shared" si="0"/>
        <v>175.77</v>
      </c>
      <c r="J11" s="7">
        <f t="shared" si="1"/>
        <v>175.77</v>
      </c>
      <c r="K11"/>
      <c r="L11" s="7">
        <v>278.47000000000003</v>
      </c>
      <c r="N11" s="7">
        <f t="shared" si="2"/>
        <v>-102.70000000000002</v>
      </c>
      <c r="O11" s="19">
        <f t="shared" si="3"/>
        <v>-0.36880094803749064</v>
      </c>
    </row>
    <row r="12" spans="1:15" x14ac:dyDescent="0.45">
      <c r="B12" t="s">
        <v>133</v>
      </c>
      <c r="H12" s="7">
        <f t="shared" si="0"/>
        <v>0</v>
      </c>
      <c r="J12" s="7">
        <f t="shared" si="1"/>
        <v>0</v>
      </c>
      <c r="K12"/>
      <c r="L12" s="7">
        <v>0</v>
      </c>
      <c r="N12" s="7">
        <f t="shared" si="2"/>
        <v>0</v>
      </c>
      <c r="O12" s="19">
        <f t="shared" si="3"/>
        <v>0</v>
      </c>
    </row>
    <row r="13" spans="1:15" x14ac:dyDescent="0.45">
      <c r="B13" t="s">
        <v>41</v>
      </c>
      <c r="F13" s="7">
        <v>0</v>
      </c>
      <c r="H13" s="7">
        <f t="shared" si="0"/>
        <v>0</v>
      </c>
      <c r="J13" s="7">
        <f t="shared" si="1"/>
        <v>0</v>
      </c>
      <c r="K13"/>
      <c r="L13" s="7">
        <v>0</v>
      </c>
      <c r="N13" s="7">
        <f t="shared" si="2"/>
        <v>0</v>
      </c>
      <c r="O13" s="19">
        <f t="shared" si="3"/>
        <v>0</v>
      </c>
    </row>
    <row r="14" spans="1:15" x14ac:dyDescent="0.45">
      <c r="B14" t="s">
        <v>8</v>
      </c>
      <c r="F14" s="7">
        <f>'[1]Year End Accounts'!$D$12</f>
        <v>3059.54</v>
      </c>
      <c r="H14" s="7">
        <f t="shared" si="0"/>
        <v>3059.54</v>
      </c>
      <c r="J14" s="7">
        <f t="shared" si="1"/>
        <v>3059.54</v>
      </c>
      <c r="K14"/>
      <c r="L14" s="7">
        <v>1205</v>
      </c>
      <c r="N14" s="7">
        <f t="shared" si="2"/>
        <v>1854.54</v>
      </c>
      <c r="O14" s="19">
        <f t="shared" si="3"/>
        <v>1.5390373443983401</v>
      </c>
    </row>
    <row r="15" spans="1:15" x14ac:dyDescent="0.45">
      <c r="B15" s="11" t="s">
        <v>10</v>
      </c>
      <c r="D15" s="13">
        <f t="shared" ref="D15:J15" si="4">SUM(D8:D14)</f>
        <v>0</v>
      </c>
      <c r="E15" s="13">
        <f t="shared" si="4"/>
        <v>0</v>
      </c>
      <c r="F15" s="13">
        <f t="shared" si="4"/>
        <v>5891.27</v>
      </c>
      <c r="G15" s="13">
        <f t="shared" si="4"/>
        <v>-2250</v>
      </c>
      <c r="H15" s="13">
        <f t="shared" si="4"/>
        <v>3641.27</v>
      </c>
      <c r="I15" s="13">
        <f t="shared" si="4"/>
        <v>2250</v>
      </c>
      <c r="J15" s="13">
        <f t="shared" si="4"/>
        <v>5891.27</v>
      </c>
      <c r="K15"/>
      <c r="L15" s="13">
        <f>SUM(L8:L14)</f>
        <v>3298.46</v>
      </c>
      <c r="N15" s="13">
        <f>SUM(N8:N14)</f>
        <v>2592.81</v>
      </c>
      <c r="O15" s="20">
        <f t="shared" si="3"/>
        <v>0.78606683118788778</v>
      </c>
    </row>
    <row r="16" spans="1:15" x14ac:dyDescent="0.45">
      <c r="I16"/>
      <c r="J16"/>
      <c r="K16"/>
      <c r="L16"/>
      <c r="N16"/>
      <c r="O16" s="19"/>
    </row>
    <row r="17" spans="2:15" x14ac:dyDescent="0.45">
      <c r="B17" s="12" t="s">
        <v>11</v>
      </c>
      <c r="J17"/>
      <c r="K17"/>
      <c r="L17"/>
      <c r="N17"/>
      <c r="O17" s="19"/>
    </row>
    <row r="18" spans="2:15" x14ac:dyDescent="0.45">
      <c r="B18" t="s">
        <v>12</v>
      </c>
      <c r="F18" s="7">
        <f>'[1]Year End Accounts'!$C$17</f>
        <v>3118.5</v>
      </c>
      <c r="H18" s="7">
        <f>SUM(D18:G18)</f>
        <v>3118.5</v>
      </c>
      <c r="J18" s="7">
        <f t="shared" ref="J18:J24" si="5">SUM(H18:I18)</f>
        <v>3118.5</v>
      </c>
      <c r="K18"/>
      <c r="L18" s="7">
        <v>4988.6299999999992</v>
      </c>
      <c r="N18" s="7">
        <f t="shared" ref="N18:N24" si="6">$J18+-$L18</f>
        <v>-1870.1299999999992</v>
      </c>
      <c r="O18" s="19">
        <f t="shared" ref="O18:O27" si="7">IF(AND($J18=0,$L18=0),0,IF(AND($J18&gt;0,$L18=0),1,IF(AND($J18=0,$L18&gt;0),-1,($J18/$L18)-1)))</f>
        <v>-0.37487847364907789</v>
      </c>
    </row>
    <row r="19" spans="2:15" x14ac:dyDescent="0.45">
      <c r="B19" t="s">
        <v>8</v>
      </c>
      <c r="F19" s="7">
        <f>'[1]Year End Accounts'!$C$18</f>
        <v>3347.26</v>
      </c>
      <c r="G19" s="7">
        <v>-2529.2200000000003</v>
      </c>
      <c r="H19" s="7">
        <f t="shared" ref="H19:H24" si="8">SUM(D19:G19)</f>
        <v>818.04</v>
      </c>
      <c r="I19" s="7">
        <f>-G19</f>
        <v>2529.2200000000003</v>
      </c>
      <c r="J19" s="7">
        <f t="shared" si="5"/>
        <v>3347.26</v>
      </c>
      <c r="K19"/>
      <c r="L19" s="7">
        <v>1586.99</v>
      </c>
      <c r="N19" s="7">
        <f t="shared" si="6"/>
        <v>1760.2700000000002</v>
      </c>
      <c r="O19" s="19">
        <f t="shared" si="7"/>
        <v>1.1091878335717302</v>
      </c>
    </row>
    <row r="20" spans="2:15" x14ac:dyDescent="0.45">
      <c r="B20" t="s">
        <v>13</v>
      </c>
      <c r="H20" s="7">
        <f t="shared" si="8"/>
        <v>0</v>
      </c>
      <c r="J20" s="7">
        <f t="shared" si="5"/>
        <v>0</v>
      </c>
      <c r="K20"/>
      <c r="L20" s="7">
        <v>0</v>
      </c>
      <c r="N20" s="7">
        <f t="shared" si="6"/>
        <v>0</v>
      </c>
      <c r="O20" s="19">
        <f t="shared" si="7"/>
        <v>0</v>
      </c>
    </row>
    <row r="21" spans="2:15" x14ac:dyDescent="0.45">
      <c r="B21" t="s">
        <v>35</v>
      </c>
      <c r="F21" s="7">
        <f>-'[1]Year End Accounts'!$D$29</f>
        <v>0</v>
      </c>
      <c r="H21" s="7">
        <f t="shared" si="8"/>
        <v>0</v>
      </c>
      <c r="J21" s="7">
        <f t="shared" si="5"/>
        <v>0</v>
      </c>
      <c r="K21"/>
      <c r="N21" s="7">
        <f t="shared" si="6"/>
        <v>0</v>
      </c>
      <c r="O21" s="19">
        <f t="shared" si="7"/>
        <v>0</v>
      </c>
    </row>
    <row r="22" spans="2:15" x14ac:dyDescent="0.45">
      <c r="B22" t="s">
        <v>14</v>
      </c>
      <c r="H22" s="7">
        <f t="shared" si="8"/>
        <v>0</v>
      </c>
      <c r="J22" s="7">
        <f t="shared" si="5"/>
        <v>0</v>
      </c>
      <c r="K22"/>
      <c r="N22" s="7">
        <f t="shared" si="6"/>
        <v>0</v>
      </c>
      <c r="O22" s="19">
        <f t="shared" si="7"/>
        <v>0</v>
      </c>
    </row>
    <row r="23" spans="2:15" x14ac:dyDescent="0.45">
      <c r="B23" t="s">
        <v>6</v>
      </c>
      <c r="F23" s="7">
        <f>'[1]Year End Accounts'!$C$22</f>
        <v>12.41</v>
      </c>
      <c r="H23" s="7">
        <f t="shared" si="8"/>
        <v>12.41</v>
      </c>
      <c r="J23" s="7">
        <f t="shared" si="5"/>
        <v>12.41</v>
      </c>
      <c r="K23"/>
      <c r="L23" s="7">
        <v>12.07</v>
      </c>
      <c r="N23" s="7">
        <f t="shared" si="6"/>
        <v>0.33999999999999986</v>
      </c>
      <c r="O23" s="19">
        <f t="shared" si="7"/>
        <v>2.8169014084507005E-2</v>
      </c>
    </row>
    <row r="24" spans="2:15" x14ac:dyDescent="0.45">
      <c r="B24" t="s">
        <v>16</v>
      </c>
      <c r="F24" s="7">
        <f>'[1]Year End Accounts'!$C$23</f>
        <v>58.1</v>
      </c>
      <c r="H24" s="7">
        <f t="shared" si="8"/>
        <v>58.1</v>
      </c>
      <c r="J24" s="7">
        <f t="shared" si="5"/>
        <v>58.1</v>
      </c>
      <c r="K24"/>
      <c r="L24" s="7">
        <v>29.92</v>
      </c>
      <c r="N24" s="7">
        <f t="shared" si="6"/>
        <v>28.18</v>
      </c>
      <c r="O24" s="19">
        <f t="shared" si="7"/>
        <v>0.9418449197860963</v>
      </c>
    </row>
    <row r="25" spans="2:15" x14ac:dyDescent="0.45">
      <c r="D25" s="13">
        <f t="shared" ref="D25:J25" si="9">SUM(D18:D24)</f>
        <v>0</v>
      </c>
      <c r="E25" s="13">
        <f t="shared" si="9"/>
        <v>0</v>
      </c>
      <c r="F25" s="13">
        <f t="shared" si="9"/>
        <v>6536.27</v>
      </c>
      <c r="G25" s="13">
        <f t="shared" si="9"/>
        <v>-2529.2200000000003</v>
      </c>
      <c r="H25" s="13">
        <f t="shared" si="9"/>
        <v>4007.0499999999997</v>
      </c>
      <c r="I25" s="13">
        <f t="shared" si="9"/>
        <v>2529.2200000000003</v>
      </c>
      <c r="J25" s="13">
        <f t="shared" si="9"/>
        <v>6536.27</v>
      </c>
      <c r="K25"/>
      <c r="L25" s="13">
        <f>SUM(L18:L24)</f>
        <v>6617.6099999999988</v>
      </c>
      <c r="N25" s="13">
        <f>SUM(N18:N24)</f>
        <v>-81.33999999999898</v>
      </c>
      <c r="O25" s="20">
        <f t="shared" si="7"/>
        <v>-1.2291446609878576E-2</v>
      </c>
    </row>
    <row r="26" spans="2:15" x14ac:dyDescent="0.45">
      <c r="K26"/>
      <c r="O26" s="19"/>
    </row>
    <row r="27" spans="2:15" ht="14.65" thickBot="1" x14ac:dyDescent="0.5">
      <c r="B27" t="s">
        <v>15</v>
      </c>
      <c r="D27" s="8">
        <f t="shared" ref="D27:J27" si="10">D15+-D25</f>
        <v>0</v>
      </c>
      <c r="E27" s="8">
        <f t="shared" si="10"/>
        <v>0</v>
      </c>
      <c r="F27" s="8">
        <f t="shared" si="10"/>
        <v>-645</v>
      </c>
      <c r="G27" s="8">
        <f t="shared" si="10"/>
        <v>279.22000000000025</v>
      </c>
      <c r="H27" s="8">
        <f t="shared" si="10"/>
        <v>-365.77999999999975</v>
      </c>
      <c r="I27" s="8">
        <f t="shared" si="10"/>
        <v>-279.22000000000025</v>
      </c>
      <c r="J27" s="8">
        <f t="shared" si="10"/>
        <v>-645</v>
      </c>
      <c r="K27"/>
      <c r="L27" s="8">
        <f>L15+-L25</f>
        <v>-3319.1499999999987</v>
      </c>
      <c r="N27" s="8">
        <f>J27+-L27</f>
        <v>2674.1499999999987</v>
      </c>
      <c r="O27" s="20">
        <f t="shared" si="7"/>
        <v>-0.80567313920732708</v>
      </c>
    </row>
    <row r="28" spans="2:15" ht="14.65" thickTop="1" x14ac:dyDescent="0.45">
      <c r="I28"/>
      <c r="J28"/>
      <c r="K28"/>
      <c r="L28"/>
      <c r="N28"/>
    </row>
  </sheetData>
  <sheetProtection sheet="1" objects="1" scenarios="1"/>
  <mergeCells count="1">
    <mergeCell ref="A2:O2"/>
  </mergeCells>
  <pageMargins left="0.39370078740157499" right="0.39370078740157499" top="0.59055118110236204" bottom="0.78740157480314998" header="0.39370078740157499" footer="0.39370078740157499"/>
  <pageSetup paperSize="9" fitToHeight="0" orientation="landscape" horizontalDpi="4294967293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4879-9B0E-4E7C-A7C6-48FE9CF40BC3}">
  <sheetPr>
    <pageSetUpPr fitToPage="1"/>
  </sheetPr>
  <dimension ref="A1:P46"/>
  <sheetViews>
    <sheetView tabSelected="1" workbookViewId="0">
      <pane xSplit="3" ySplit="5" topLeftCell="E6" activePane="bottomRight" state="frozen"/>
      <selection pane="topRight" activeCell="D1" sqref="D1"/>
      <selection pane="bottomLeft" activeCell="A7" sqref="A7"/>
      <selection pane="bottomRight" sqref="A1:L1"/>
    </sheetView>
  </sheetViews>
  <sheetFormatPr defaultRowHeight="14.25" outlineLevelCol="1" x14ac:dyDescent="0.45"/>
  <cols>
    <col min="1" max="1" width="1.73046875" customWidth="1"/>
    <col min="2" max="2" width="50.73046875" customWidth="1"/>
    <col min="3" max="3" width="12.73046875" customWidth="1"/>
    <col min="4" max="7" width="13.73046875" style="7" hidden="1" customWidth="1" outlineLevel="1"/>
    <col min="8" max="8" width="13.73046875" style="7" customWidth="1" collapsed="1"/>
    <col min="9" max="10" width="13.73046875" style="7" customWidth="1"/>
    <col min="11" max="11" width="1.73046875" style="7" customWidth="1"/>
    <col min="12" max="12" width="13.73046875" style="7" customWidth="1"/>
    <col min="13" max="13" width="1.73046875" customWidth="1"/>
    <col min="14" max="14" width="13.73046875" style="7" hidden="1" customWidth="1" outlineLevel="1"/>
    <col min="15" max="15" width="7.73046875" hidden="1" customWidth="1" outlineLevel="1"/>
    <col min="16" max="16" width="9.1328125" collapsed="1"/>
  </cols>
  <sheetData>
    <row r="1" spans="1:15" ht="30" customHeight="1" x14ac:dyDescent="1.1000000000000001">
      <c r="A1" s="44" t="str">
        <f>range_Name_of_Organisation&amp;CHAR(32)&amp;range_Charity_Number</f>
        <v>Sailability Scotland SCIO SC047162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8"/>
      <c r="N1" s="2"/>
      <c r="O1" s="18"/>
    </row>
    <row r="2" spans="1:15" ht="54.95" customHeight="1" x14ac:dyDescent="1.1000000000000001">
      <c r="A2" s="44" t="str">
        <f>"SECTION A: RECEIPTS AND PAYMENTS ACCOUNT
for the period ended 30th November "&amp;i_Year+1&amp;"."</f>
        <v>SECTION A: RECEIPTS AND PAYMENTS ACCOUNT
for the period ended 30th November 2025.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8"/>
      <c r="N2" s="2"/>
      <c r="O2" s="18"/>
    </row>
    <row r="3" spans="1:15" x14ac:dyDescent="0.45">
      <c r="D3"/>
      <c r="E3"/>
      <c r="F3"/>
      <c r="G3"/>
      <c r="H3"/>
      <c r="I3"/>
      <c r="J3"/>
      <c r="K3"/>
      <c r="L3"/>
      <c r="N3"/>
    </row>
    <row r="4" spans="1:15" ht="42.75" x14ac:dyDescent="0.45">
      <c r="D4" s="4" t="s">
        <v>36</v>
      </c>
      <c r="E4" s="4" t="s">
        <v>37</v>
      </c>
      <c r="F4" s="4" t="s">
        <v>104</v>
      </c>
      <c r="G4" s="4" t="s">
        <v>58</v>
      </c>
      <c r="H4" s="4" t="s">
        <v>40</v>
      </c>
      <c r="I4" s="4" t="s">
        <v>4</v>
      </c>
      <c r="J4" s="4" t="s">
        <v>85</v>
      </c>
      <c r="K4"/>
      <c r="L4" s="4" t="s">
        <v>86</v>
      </c>
      <c r="N4" s="17" t="str">
        <f>i_Year&amp;"/"&amp;i_Year+1&amp;" Delta"</f>
        <v>2024/2025 Delta</v>
      </c>
      <c r="O4" s="18"/>
    </row>
    <row r="5" spans="1:15" x14ac:dyDescent="0.45">
      <c r="D5"/>
      <c r="E5"/>
      <c r="F5"/>
      <c r="G5"/>
      <c r="H5"/>
      <c r="I5"/>
      <c r="J5"/>
      <c r="K5"/>
      <c r="L5"/>
      <c r="N5"/>
    </row>
    <row r="6" spans="1:15" x14ac:dyDescent="0.45">
      <c r="D6"/>
      <c r="E6"/>
      <c r="F6"/>
      <c r="G6"/>
      <c r="H6"/>
      <c r="I6"/>
      <c r="J6"/>
      <c r="K6"/>
      <c r="L6"/>
      <c r="N6"/>
    </row>
    <row r="7" spans="1:15" x14ac:dyDescent="0.45">
      <c r="B7" s="11" t="s">
        <v>64</v>
      </c>
      <c r="D7" s="10" t="s">
        <v>0</v>
      </c>
      <c r="E7" s="10" t="s">
        <v>0</v>
      </c>
      <c r="F7" s="10"/>
      <c r="G7" s="10" t="s">
        <v>0</v>
      </c>
      <c r="H7" s="10" t="s">
        <v>0</v>
      </c>
      <c r="I7" s="10" t="s">
        <v>0</v>
      </c>
      <c r="J7" s="10" t="s">
        <v>0</v>
      </c>
      <c r="K7"/>
      <c r="L7" s="10" t="s">
        <v>0</v>
      </c>
      <c r="N7" s="10" t="s">
        <v>0</v>
      </c>
      <c r="O7" s="10" t="s">
        <v>39</v>
      </c>
    </row>
    <row r="8" spans="1:15" x14ac:dyDescent="0.45">
      <c r="B8" t="s">
        <v>5</v>
      </c>
      <c r="D8" s="23">
        <f>'Income &amp; Expenditure Statement'!D9</f>
        <v>0</v>
      </c>
      <c r="E8" s="23">
        <f>'Income &amp; Expenditure Statement'!E9</f>
        <v>0</v>
      </c>
      <c r="F8" s="23">
        <f>'Income &amp; Expenditure Statement'!F9</f>
        <v>2300</v>
      </c>
      <c r="G8" s="23">
        <f>'Income &amp; Expenditure Statement'!G9</f>
        <v>-2250</v>
      </c>
      <c r="H8" s="23">
        <v>50</v>
      </c>
      <c r="I8" s="23">
        <f>-G8</f>
        <v>2250</v>
      </c>
      <c r="J8" s="23">
        <f>SUM(H8:I8)</f>
        <v>2300</v>
      </c>
      <c r="K8" s="23"/>
      <c r="L8" s="23">
        <f>'Income &amp; Expenditure Statement'!L9</f>
        <v>1576.25</v>
      </c>
      <c r="M8" s="23"/>
      <c r="N8" s="23">
        <f>$J8+-$L8</f>
        <v>723.75</v>
      </c>
      <c r="O8" s="19">
        <f>IF(AND($J8=0,$L8=0),0,IF(AND($J8&gt;0,$L8=0),1,IF(AND($J8=0,$L8&gt;0),-1,($J8/$L8)-1)))</f>
        <v>0.45915939730372712</v>
      </c>
    </row>
    <row r="9" spans="1:15" x14ac:dyDescent="0.45">
      <c r="B9" t="s">
        <v>59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9"/>
    </row>
    <row r="10" spans="1:15" x14ac:dyDescent="0.45">
      <c r="B10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9"/>
    </row>
    <row r="11" spans="1:15" x14ac:dyDescent="0.45">
      <c r="B11" t="s">
        <v>62</v>
      </c>
      <c r="D11" s="23">
        <f>'Income &amp; Expenditure Statement'!D10</f>
        <v>0</v>
      </c>
      <c r="E11" s="23">
        <f>'Income &amp; Expenditure Statement'!E10</f>
        <v>0</v>
      </c>
      <c r="F11" s="23">
        <f>'Income &amp; Expenditure Statement'!F10</f>
        <v>165.96</v>
      </c>
      <c r="G11" s="23">
        <f>'Income &amp; Expenditure Statement'!G10</f>
        <v>0</v>
      </c>
      <c r="H11" s="23">
        <v>166</v>
      </c>
      <c r="I11" s="23"/>
      <c r="J11" s="23">
        <f>SUM(H11:I11)</f>
        <v>166</v>
      </c>
      <c r="K11" s="23"/>
      <c r="L11" s="23">
        <f>'Income &amp; Expenditure Statement'!L10</f>
        <v>18.739999999999998</v>
      </c>
      <c r="M11" s="23"/>
      <c r="N11" s="23">
        <f>$J11+-$L11</f>
        <v>147.26</v>
      </c>
      <c r="O11" s="19">
        <f>IF(AND($J11=0,$L11=0),0,IF(AND($J11&gt;0,$L11=0),1,IF(AND($J11=0,$L11&gt;0),-1,($J11/$L11)-1)))</f>
        <v>7.8580576307363934</v>
      </c>
    </row>
    <row r="12" spans="1:15" x14ac:dyDescent="0.45">
      <c r="B12" t="s">
        <v>63</v>
      </c>
      <c r="D12" s="23">
        <f>'Income &amp; Expenditure Statement'!D14+'Income &amp; Expenditure Statement'!D13+'Income &amp; Expenditure Statement'!D11</f>
        <v>0</v>
      </c>
      <c r="E12" s="23">
        <f>'Income &amp; Expenditure Statement'!E14+'Income &amp; Expenditure Statement'!E13+'Income &amp; Expenditure Statement'!E11</f>
        <v>0</v>
      </c>
      <c r="F12" s="23">
        <f>'Income &amp; Expenditure Statement'!F14+'Income &amp; Expenditure Statement'!F13</f>
        <v>3059.54</v>
      </c>
      <c r="G12" s="23">
        <f>'Income &amp; Expenditure Statement'!G14+'Income &amp; Expenditure Statement'!G13+'Income &amp; Expenditure Statement'!G11</f>
        <v>0</v>
      </c>
      <c r="H12" s="23">
        <v>3060</v>
      </c>
      <c r="I12" s="23"/>
      <c r="J12" s="23">
        <f>SUM(H12:I12)</f>
        <v>3060</v>
      </c>
      <c r="K12" s="23"/>
      <c r="L12" s="23">
        <f>'Income &amp; Expenditure Statement'!L14</f>
        <v>1205</v>
      </c>
      <c r="M12" s="23"/>
      <c r="N12" s="23">
        <f>$J12+-$L12</f>
        <v>1855</v>
      </c>
      <c r="O12" s="19">
        <f>IF(AND($J12=0,$L12=0),0,IF(AND($J12&gt;0,$L12=0),1,IF(AND($J12=0,$L12&gt;0),-1,($J12/$L12)-1)))</f>
        <v>1.5394190871369293</v>
      </c>
    </row>
    <row r="13" spans="1:15" ht="28.5" x14ac:dyDescent="0.45">
      <c r="B13" s="21" t="s">
        <v>60</v>
      </c>
      <c r="D13" s="23"/>
      <c r="E13" s="23"/>
      <c r="F13" s="23">
        <f>'Income &amp; Expenditure Statement'!F11</f>
        <v>175.77</v>
      </c>
      <c r="G13" s="23"/>
      <c r="H13" s="23">
        <v>176</v>
      </c>
      <c r="I13" s="23"/>
      <c r="J13" s="23">
        <f t="shared" ref="J13:J16" si="0">SUM(H13:I13)</f>
        <v>176</v>
      </c>
      <c r="K13" s="23"/>
      <c r="L13" s="23">
        <f>'Income &amp; Expenditure Statement'!L11</f>
        <v>278.47000000000003</v>
      </c>
      <c r="M13" s="23"/>
      <c r="N13" s="23">
        <f>$J13+-$L13</f>
        <v>-102.47000000000003</v>
      </c>
      <c r="O13" s="19">
        <f>IF(AND($J13=0,$L13=0),0,IF(AND($J13&gt;0,$L13=0),1,IF(AND($J13=0,$L13&gt;0),-1,($J13/$L13)-1)))</f>
        <v>-0.36797500628433943</v>
      </c>
    </row>
    <row r="14" spans="1:15" x14ac:dyDescent="0.45">
      <c r="B14" s="21" t="s">
        <v>61</v>
      </c>
      <c r="D14" s="23"/>
      <c r="E14" s="23"/>
      <c r="F14" s="23"/>
      <c r="G14" s="23"/>
      <c r="H14" s="23">
        <f t="shared" ref="H13:H16" si="1">SUM(D14:G14)</f>
        <v>0</v>
      </c>
      <c r="I14" s="23"/>
      <c r="J14" s="23">
        <f t="shared" si="0"/>
        <v>0</v>
      </c>
      <c r="K14" s="23"/>
      <c r="L14" s="23"/>
      <c r="M14" s="23"/>
      <c r="N14" s="23">
        <f t="shared" ref="N14:N15" si="2">$J14+-$L14</f>
        <v>0</v>
      </c>
      <c r="O14" s="19">
        <f t="shared" ref="O14:O15" si="3">IF(AND($J14=0,$L14=0),0,IF(AND($J14&gt;0,$L14=0),1,IF(AND($J14=0,$L14&gt;0),-1,($J14/$L14)-1)))</f>
        <v>0</v>
      </c>
    </row>
    <row r="15" spans="1:15" x14ac:dyDescent="0.45">
      <c r="B15" s="21" t="s">
        <v>133</v>
      </c>
      <c r="D15" s="23"/>
      <c r="E15" s="23"/>
      <c r="F15" s="23">
        <f>'Income &amp; Expenditure Statement'!F12</f>
        <v>0</v>
      </c>
      <c r="G15" s="23"/>
      <c r="H15" s="23"/>
      <c r="I15" s="23"/>
      <c r="J15" s="23">
        <f t="shared" si="0"/>
        <v>0</v>
      </c>
      <c r="K15" s="23"/>
      <c r="L15" s="23">
        <f>'Income &amp; Expenditure Statement'!L12</f>
        <v>0</v>
      </c>
      <c r="M15" s="23"/>
      <c r="N15" s="23">
        <f t="shared" si="2"/>
        <v>0</v>
      </c>
      <c r="O15" s="19">
        <f t="shared" si="3"/>
        <v>0</v>
      </c>
    </row>
    <row r="16" spans="1:15" x14ac:dyDescent="0.45">
      <c r="B16" t="s">
        <v>2</v>
      </c>
      <c r="D16" s="23">
        <f>'Income &amp; Expenditure Statement'!D8</f>
        <v>0</v>
      </c>
      <c r="E16" s="23">
        <f>'Income &amp; Expenditure Statement'!E8</f>
        <v>0</v>
      </c>
      <c r="F16" s="23">
        <f>'Income &amp; Expenditure Statement'!F8</f>
        <v>190</v>
      </c>
      <c r="G16" s="23">
        <f>'Income &amp; Expenditure Statement'!G8</f>
        <v>0</v>
      </c>
      <c r="H16" s="23">
        <v>190</v>
      </c>
      <c r="I16" s="23"/>
      <c r="J16" s="23">
        <f t="shared" si="0"/>
        <v>190</v>
      </c>
      <c r="K16" s="23"/>
      <c r="L16" s="23">
        <f>'Income &amp; Expenditure Statement'!L8</f>
        <v>220</v>
      </c>
      <c r="M16" s="23"/>
      <c r="N16" s="23">
        <f>$J16+-$L16</f>
        <v>-30</v>
      </c>
      <c r="O16" s="19">
        <f>IF(AND($J16=0,$L16=0),0,IF(AND($J16&gt;0,$L16=0),1,IF(AND($J16=0,$L16&gt;0),-1,($J16/$L16)-1)))</f>
        <v>-0.13636363636363635</v>
      </c>
    </row>
    <row r="17" spans="2:15" x14ac:dyDescent="0.4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2:15" x14ac:dyDescent="0.45">
      <c r="B18" s="11" t="s">
        <v>68</v>
      </c>
      <c r="D18" s="26">
        <f t="shared" ref="D18:J18" si="4">SUM(D8:D17)</f>
        <v>0</v>
      </c>
      <c r="E18" s="26">
        <f t="shared" si="4"/>
        <v>0</v>
      </c>
      <c r="F18" s="26">
        <f t="shared" si="4"/>
        <v>5891.27</v>
      </c>
      <c r="G18" s="26">
        <f t="shared" si="4"/>
        <v>-2250</v>
      </c>
      <c r="H18" s="26">
        <f t="shared" si="4"/>
        <v>3642</v>
      </c>
      <c r="I18" s="26">
        <f t="shared" si="4"/>
        <v>2250</v>
      </c>
      <c r="J18" s="26">
        <f t="shared" si="4"/>
        <v>5892</v>
      </c>
      <c r="K18" s="23"/>
      <c r="L18" s="26">
        <f>SUM(L8:L17)</f>
        <v>3298.46</v>
      </c>
      <c r="M18" s="23"/>
      <c r="N18" s="26">
        <f>SUM(N8:N17)</f>
        <v>2593.54</v>
      </c>
      <c r="O18" s="20">
        <f>IF(AND($J18=0,$L18=0),0,IF(AND($J18&gt;0,$L18=0),1,IF(AND($J18=0,$L18&gt;0),-1,($J18/$L18)-1)))</f>
        <v>0.78628814658962054</v>
      </c>
    </row>
    <row r="19" spans="2:15" x14ac:dyDescent="0.45">
      <c r="B19" s="11"/>
      <c r="D19" s="26"/>
      <c r="E19" s="26"/>
      <c r="F19" s="26"/>
      <c r="G19" s="26"/>
      <c r="H19" s="26"/>
      <c r="I19" s="26"/>
      <c r="J19" s="26"/>
      <c r="K19" s="23"/>
      <c r="L19" s="26"/>
      <c r="M19" s="23"/>
      <c r="N19" s="26"/>
      <c r="O19" s="20"/>
    </row>
    <row r="20" spans="2:15" x14ac:dyDescent="0.45">
      <c r="B20" s="11" t="s">
        <v>65</v>
      </c>
      <c r="D20" s="26"/>
      <c r="E20" s="26"/>
      <c r="F20" s="26"/>
      <c r="G20" s="26"/>
      <c r="H20" s="26"/>
      <c r="I20" s="26"/>
      <c r="J20" s="26"/>
      <c r="K20" s="23"/>
      <c r="L20" s="26"/>
      <c r="M20" s="23"/>
      <c r="N20" s="26"/>
      <c r="O20" s="20"/>
    </row>
    <row r="21" spans="2:15" x14ac:dyDescent="0.45">
      <c r="B21" t="s">
        <v>66</v>
      </c>
      <c r="D21" s="26"/>
      <c r="E21" s="26"/>
      <c r="F21" s="26"/>
      <c r="G21" s="26"/>
      <c r="H21" s="26"/>
      <c r="I21" s="26"/>
      <c r="J21" s="26"/>
      <c r="K21" s="23"/>
      <c r="L21" s="26"/>
      <c r="M21" s="23"/>
      <c r="N21" s="26"/>
      <c r="O21" s="20"/>
    </row>
    <row r="22" spans="2:15" x14ac:dyDescent="0.45">
      <c r="B22" t="s">
        <v>67</v>
      </c>
      <c r="D22" s="26"/>
      <c r="E22" s="26"/>
      <c r="F22" s="26"/>
      <c r="G22" s="26"/>
      <c r="H22" s="26"/>
      <c r="I22" s="26"/>
      <c r="J22" s="26"/>
      <c r="K22" s="23"/>
      <c r="L22" s="26"/>
      <c r="M22" s="23"/>
      <c r="N22" s="26"/>
      <c r="O22" s="20"/>
    </row>
    <row r="23" spans="2:15" x14ac:dyDescent="0.45">
      <c r="B23" s="11"/>
      <c r="D23" s="26"/>
      <c r="E23" s="26"/>
      <c r="F23" s="26"/>
      <c r="G23" s="26"/>
      <c r="H23" s="26"/>
      <c r="I23" s="26"/>
      <c r="J23" s="26"/>
      <c r="K23" s="23"/>
      <c r="L23" s="26"/>
      <c r="M23" s="23"/>
      <c r="N23" s="26"/>
      <c r="O23" s="20"/>
    </row>
    <row r="24" spans="2:15" x14ac:dyDescent="0.45">
      <c r="B24" s="11" t="s">
        <v>69</v>
      </c>
      <c r="D24" s="26">
        <f>SUM(D21:D22)</f>
        <v>0</v>
      </c>
      <c r="E24" s="26">
        <f t="shared" ref="E24:N24" si="5">SUM(E21:E22)</f>
        <v>0</v>
      </c>
      <c r="F24" s="26">
        <f t="shared" si="5"/>
        <v>0</v>
      </c>
      <c r="G24" s="26">
        <f t="shared" si="5"/>
        <v>0</v>
      </c>
      <c r="H24" s="26">
        <f t="shared" si="5"/>
        <v>0</v>
      </c>
      <c r="I24" s="26">
        <f t="shared" si="5"/>
        <v>0</v>
      </c>
      <c r="J24" s="26">
        <f t="shared" si="5"/>
        <v>0</v>
      </c>
      <c r="K24" s="23"/>
      <c r="L24" s="26">
        <f t="shared" si="5"/>
        <v>0</v>
      </c>
      <c r="M24" s="23"/>
      <c r="N24" s="26">
        <f t="shared" si="5"/>
        <v>0</v>
      </c>
      <c r="O24" s="20">
        <f>IF(AND($J24=0,$L24=0),0,IF(AND($J24&gt;0,$L24=0),1,IF(AND($J24=0,$L24&gt;0),-1,($J24/$L24)-1)))</f>
        <v>0</v>
      </c>
    </row>
    <row r="25" spans="2:15" x14ac:dyDescent="0.45">
      <c r="B25" s="11" t="s">
        <v>83</v>
      </c>
      <c r="D25" s="26">
        <f t="shared" ref="D25:J25" si="6">D18+D24</f>
        <v>0</v>
      </c>
      <c r="E25" s="26">
        <f t="shared" si="6"/>
        <v>0</v>
      </c>
      <c r="F25" s="26">
        <f t="shared" si="6"/>
        <v>5891.27</v>
      </c>
      <c r="G25" s="26">
        <f t="shared" si="6"/>
        <v>-2250</v>
      </c>
      <c r="H25" s="26">
        <f t="shared" si="6"/>
        <v>3642</v>
      </c>
      <c r="I25" s="26">
        <f t="shared" si="6"/>
        <v>2250</v>
      </c>
      <c r="J25" s="26">
        <f t="shared" si="6"/>
        <v>5892</v>
      </c>
      <c r="K25" s="23"/>
      <c r="L25" s="26">
        <f>L18+L24</f>
        <v>3298.46</v>
      </c>
      <c r="M25" s="23"/>
      <c r="N25" s="26">
        <f>N18+N24</f>
        <v>2593.54</v>
      </c>
      <c r="O25" s="20">
        <f>IF(AND($J25=0,$L25=0),0,IF(AND($J25&gt;0,$L25=0),1,IF(AND($J25=0,$L25&gt;0),-1,($J25/$L25)-1)))</f>
        <v>0.78628814658962054</v>
      </c>
    </row>
    <row r="26" spans="2:15" x14ac:dyDescent="0.45">
      <c r="B26" s="11"/>
      <c r="D26" s="26"/>
      <c r="E26" s="26"/>
      <c r="F26" s="26"/>
      <c r="G26" s="26"/>
      <c r="H26" s="26"/>
      <c r="I26" s="26"/>
      <c r="J26" s="26"/>
      <c r="K26" s="23"/>
      <c r="L26" s="26"/>
      <c r="M26" s="23"/>
      <c r="N26" s="26"/>
      <c r="O26" s="20"/>
    </row>
    <row r="27" spans="2:15" x14ac:dyDescent="0.45">
      <c r="B27" s="11"/>
      <c r="D27" s="26"/>
      <c r="E27" s="26"/>
      <c r="F27" s="26"/>
      <c r="G27" s="26"/>
      <c r="H27" s="26"/>
      <c r="I27" s="26"/>
      <c r="J27" s="26"/>
      <c r="K27" s="23"/>
      <c r="L27" s="26"/>
      <c r="M27" s="23"/>
      <c r="N27" s="26"/>
      <c r="O27" s="20"/>
    </row>
    <row r="28" spans="2:15" x14ac:dyDescent="0.45">
      <c r="B28" s="11" t="s">
        <v>70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9"/>
    </row>
    <row r="29" spans="2:15" x14ac:dyDescent="0.45">
      <c r="B29" t="s">
        <v>71</v>
      </c>
      <c r="D29" s="23">
        <f>'Income &amp; Expenditure Statement'!D23</f>
        <v>0</v>
      </c>
      <c r="E29" s="23">
        <f>'Income &amp; Expenditure Statement'!E23</f>
        <v>0</v>
      </c>
      <c r="F29" s="23">
        <f>'Income &amp; Expenditure Statement'!F23</f>
        <v>12.41</v>
      </c>
      <c r="G29" s="23">
        <f>'Income &amp; Expenditure Statement'!G23</f>
        <v>0</v>
      </c>
      <c r="H29" s="23">
        <f>SUM(D29:G29)</f>
        <v>12.41</v>
      </c>
      <c r="I29" s="23"/>
      <c r="J29" s="23">
        <f>SUM(H29:I29)</f>
        <v>12.41</v>
      </c>
      <c r="K29" s="23"/>
      <c r="L29" s="23">
        <f>'Income &amp; Expenditure Statement'!L23</f>
        <v>12.07</v>
      </c>
      <c r="M29" s="23"/>
      <c r="N29" s="23">
        <f>$J29+-$L29</f>
        <v>0.33999999999999986</v>
      </c>
      <c r="O29" s="19">
        <f>IF(AND($J29=0,$L29=0),0,IF(AND($J29&gt;0,$L29=0),1,IF(AND($J29=0,$L29&gt;0),-1,($J29/$L29)-1)))</f>
        <v>2.8169014084507005E-2</v>
      </c>
    </row>
    <row r="30" spans="2:15" x14ac:dyDescent="0.45">
      <c r="B30" t="s">
        <v>72</v>
      </c>
      <c r="D30" s="23">
        <f>'Income &amp; Expenditure Statement'!D19</f>
        <v>0</v>
      </c>
      <c r="E30" s="23">
        <f>'Income &amp; Expenditure Statement'!E19</f>
        <v>0</v>
      </c>
      <c r="F30" s="23">
        <f>'Income &amp; Expenditure Statement'!F19</f>
        <v>3347.26</v>
      </c>
      <c r="G30" s="23">
        <f>'Income &amp; Expenditure Statement'!G19</f>
        <v>-2529.2200000000003</v>
      </c>
      <c r="H30" s="23">
        <f>SUM(D30:G30)</f>
        <v>818.04</v>
      </c>
      <c r="I30" s="23">
        <f>-G30</f>
        <v>2529.2200000000003</v>
      </c>
      <c r="J30" s="23">
        <f>SUM(H30:I30)</f>
        <v>3347.26</v>
      </c>
      <c r="K30" s="23"/>
      <c r="L30" s="23">
        <f>'Income &amp; Expenditure Statement'!L19</f>
        <v>1586.99</v>
      </c>
      <c r="M30" s="23"/>
      <c r="N30" s="23">
        <f>$J30+-$L30</f>
        <v>1760.2700000000002</v>
      </c>
      <c r="O30" s="19">
        <f>IF(AND($J30=0,$L30=0),0,IF(AND($J30&gt;0,$L30=0),1,IF(AND($J30=0,$L30&gt;0),-1,($J30/$L30)-1)))</f>
        <v>1.1091878335717302</v>
      </c>
    </row>
    <row r="31" spans="2:15" x14ac:dyDescent="0.45">
      <c r="B31" t="s">
        <v>73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9"/>
    </row>
    <row r="32" spans="2:15" x14ac:dyDescent="0.45">
      <c r="B32" t="s">
        <v>74</v>
      </c>
      <c r="D32" s="23">
        <f>'Income &amp; Expenditure Statement'!D18</f>
        <v>0</v>
      </c>
      <c r="E32" s="23">
        <f>'Income &amp; Expenditure Statement'!E18</f>
        <v>0</v>
      </c>
      <c r="F32" s="23">
        <f>'Income &amp; Expenditure Statement'!F18</f>
        <v>3118.5</v>
      </c>
      <c r="G32" s="23">
        <f>'Income &amp; Expenditure Statement'!G18</f>
        <v>0</v>
      </c>
      <c r="H32" s="23">
        <f>SUM(D32:G32)</f>
        <v>3118.5</v>
      </c>
      <c r="I32" s="23"/>
      <c r="J32" s="23">
        <f>SUM(H32:I32)</f>
        <v>3118.5</v>
      </c>
      <c r="K32" s="23"/>
      <c r="L32" s="23">
        <f>'Income &amp; Expenditure Statement'!L18</f>
        <v>4988.6299999999992</v>
      </c>
      <c r="M32" s="23"/>
      <c r="N32" s="23">
        <f>$J32+-$L32</f>
        <v>-1870.1299999999992</v>
      </c>
      <c r="O32" s="19">
        <f>IF(AND($J32=0,$L32=0),0,IF(AND($J32&gt;0,$L32=0),1,IF(AND($J32=0,$L32&gt;0),-1,($J32/$L32)-1)))</f>
        <v>-0.37487847364907789</v>
      </c>
    </row>
    <row r="33" spans="2:15" x14ac:dyDescent="0.45">
      <c r="B33" t="s">
        <v>75</v>
      </c>
      <c r="D33" s="23">
        <f>'Income &amp; Expenditure Statement'!D22</f>
        <v>0</v>
      </c>
      <c r="E33" s="23">
        <f>'Income &amp; Expenditure Statement'!E22</f>
        <v>0</v>
      </c>
      <c r="F33" s="23">
        <f>'Income &amp; Expenditure Statement'!F22</f>
        <v>0</v>
      </c>
      <c r="G33" s="23">
        <f>'Income &amp; Expenditure Statement'!G22</f>
        <v>0</v>
      </c>
      <c r="H33" s="23">
        <f>SUM(D33:G33)</f>
        <v>0</v>
      </c>
      <c r="I33" s="23"/>
      <c r="J33" s="23">
        <f>SUM(H33:I33)</f>
        <v>0</v>
      </c>
      <c r="K33" s="23"/>
      <c r="L33" s="23">
        <f>'Income &amp; Expenditure Statement'!L22</f>
        <v>0</v>
      </c>
      <c r="M33" s="23"/>
      <c r="N33" s="23">
        <f>$J33+-$L33</f>
        <v>0</v>
      </c>
      <c r="O33" s="19">
        <f>IF(AND($J33=0,$L33=0),0,IF(AND($J33&gt;0,$L33=0),1,IF(AND($J33=0,$L33&gt;0),-1,($J33/$L33)-1)))</f>
        <v>0</v>
      </c>
    </row>
    <row r="34" spans="2:15" x14ac:dyDescent="0.45">
      <c r="B34" t="s">
        <v>13</v>
      </c>
      <c r="D34" s="23">
        <f>'Income &amp; Expenditure Statement'!D20</f>
        <v>0</v>
      </c>
      <c r="E34" s="23">
        <f>'Income &amp; Expenditure Statement'!E20</f>
        <v>0</v>
      </c>
      <c r="F34" s="23">
        <f>'Income &amp; Expenditure Statement'!F20</f>
        <v>0</v>
      </c>
      <c r="G34" s="23">
        <f>'Income &amp; Expenditure Statement'!G20</f>
        <v>0</v>
      </c>
      <c r="H34" s="23">
        <f t="shared" ref="H34:H39" si="7">SUM(D34:G34)</f>
        <v>0</v>
      </c>
      <c r="I34" s="23"/>
      <c r="J34" s="23">
        <f t="shared" ref="J34:J39" si="8">SUM(H34:I34)</f>
        <v>0</v>
      </c>
      <c r="K34" s="23"/>
      <c r="L34" s="23">
        <f>'Income &amp; Expenditure Statement'!L20</f>
        <v>0</v>
      </c>
      <c r="M34" s="23"/>
      <c r="N34" s="23">
        <f t="shared" ref="N34:N39" si="9">$J34+-$L34</f>
        <v>0</v>
      </c>
      <c r="O34" s="19">
        <f t="shared" ref="O34:O45" si="10">IF(AND($J34=0,$L34=0),0,IF(AND($J34&gt;0,$L34=0),1,IF(AND($J34=0,$L34&gt;0),-1,($J34/$L34)-1)))</f>
        <v>0</v>
      </c>
    </row>
    <row r="35" spans="2:15" x14ac:dyDescent="0.45">
      <c r="B35" t="s">
        <v>76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9"/>
    </row>
    <row r="36" spans="2:15" x14ac:dyDescent="0.45">
      <c r="B36" t="s">
        <v>77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19"/>
    </row>
    <row r="37" spans="2:15" x14ac:dyDescent="0.45">
      <c r="B37" t="s">
        <v>78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19"/>
    </row>
    <row r="38" spans="2:15" x14ac:dyDescent="0.45">
      <c r="B38" t="s">
        <v>79</v>
      </c>
      <c r="D38" s="23">
        <f>'Income &amp; Expenditure Statement'!D24</f>
        <v>0</v>
      </c>
      <c r="E38" s="23">
        <f>'Income &amp; Expenditure Statement'!E24</f>
        <v>0</v>
      </c>
      <c r="F38" s="23">
        <f>'Income &amp; Expenditure Statement'!F24</f>
        <v>58.1</v>
      </c>
      <c r="G38" s="23">
        <f>'Income &amp; Expenditure Statement'!G24</f>
        <v>0</v>
      </c>
      <c r="H38" s="23">
        <f t="shared" si="7"/>
        <v>58.1</v>
      </c>
      <c r="I38" s="23"/>
      <c r="J38" s="23">
        <f t="shared" si="8"/>
        <v>58.1</v>
      </c>
      <c r="K38" s="23"/>
      <c r="L38" s="23">
        <f>'Income &amp; Expenditure Statement'!L24</f>
        <v>29.92</v>
      </c>
      <c r="M38" s="23"/>
      <c r="N38" s="23">
        <f t="shared" si="9"/>
        <v>28.18</v>
      </c>
      <c r="O38" s="19">
        <f t="shared" si="10"/>
        <v>0.9418449197860963</v>
      </c>
    </row>
    <row r="39" spans="2:15" x14ac:dyDescent="0.45">
      <c r="B39" t="s">
        <v>35</v>
      </c>
      <c r="D39" s="23">
        <f>'Income &amp; Expenditure Statement'!D21</f>
        <v>0</v>
      </c>
      <c r="E39" s="23">
        <f>'Income &amp; Expenditure Statement'!E21</f>
        <v>0</v>
      </c>
      <c r="F39" s="23">
        <f>'Income &amp; Expenditure Statement'!F21</f>
        <v>0</v>
      </c>
      <c r="G39" s="23">
        <f>'Income &amp; Expenditure Statement'!G21</f>
        <v>0</v>
      </c>
      <c r="H39" s="23">
        <f t="shared" si="7"/>
        <v>0</v>
      </c>
      <c r="I39" s="23"/>
      <c r="J39" s="23">
        <f t="shared" si="8"/>
        <v>0</v>
      </c>
      <c r="K39" s="23"/>
      <c r="L39" s="23">
        <f>'Income &amp; Expenditure Statement'!L21</f>
        <v>0</v>
      </c>
      <c r="M39" s="23"/>
      <c r="N39" s="23">
        <f t="shared" si="9"/>
        <v>0</v>
      </c>
      <c r="O39" s="19">
        <f t="shared" si="10"/>
        <v>0</v>
      </c>
    </row>
    <row r="40" spans="2:15" x14ac:dyDescent="0.45">
      <c r="B40" s="11" t="s">
        <v>80</v>
      </c>
      <c r="D40" s="26">
        <f>SUM(D29:D39)</f>
        <v>0</v>
      </c>
      <c r="E40" s="26">
        <f t="shared" ref="E40:N40" si="11">SUM(E29:E39)</f>
        <v>0</v>
      </c>
      <c r="F40" s="26">
        <f>SUM(F29:F39)</f>
        <v>6536.27</v>
      </c>
      <c r="G40" s="26">
        <f t="shared" si="11"/>
        <v>-2529.2200000000003</v>
      </c>
      <c r="H40" s="26">
        <f t="shared" si="11"/>
        <v>4007.0499999999997</v>
      </c>
      <c r="I40" s="26">
        <f t="shared" si="11"/>
        <v>2529.2200000000003</v>
      </c>
      <c r="J40" s="26">
        <f t="shared" si="11"/>
        <v>6536.27</v>
      </c>
      <c r="K40" s="23"/>
      <c r="L40" s="26">
        <f t="shared" si="11"/>
        <v>6617.6099999999988</v>
      </c>
      <c r="M40" s="23"/>
      <c r="N40" s="26">
        <f t="shared" si="11"/>
        <v>-81.339999999999065</v>
      </c>
      <c r="O40" s="20">
        <f t="shared" si="10"/>
        <v>-1.2291446609878576E-2</v>
      </c>
    </row>
    <row r="41" spans="2:15" x14ac:dyDescent="0.45">
      <c r="B41" s="11"/>
      <c r="D41" s="26"/>
      <c r="E41" s="26"/>
      <c r="F41" s="26"/>
      <c r="G41" s="26"/>
      <c r="H41" s="26"/>
      <c r="I41" s="26"/>
      <c r="J41" s="26"/>
      <c r="K41" s="23"/>
      <c r="L41" s="26"/>
      <c r="M41" s="23"/>
      <c r="N41" s="26"/>
      <c r="O41" s="20"/>
    </row>
    <row r="42" spans="2:15" x14ac:dyDescent="0.45">
      <c r="B42" s="11" t="s">
        <v>81</v>
      </c>
      <c r="D42" s="26">
        <f>D40</f>
        <v>0</v>
      </c>
      <c r="E42" s="26">
        <f t="shared" ref="E42:N42" si="12">E40</f>
        <v>0</v>
      </c>
      <c r="F42" s="26">
        <f>F40</f>
        <v>6536.27</v>
      </c>
      <c r="G42" s="26">
        <f t="shared" si="12"/>
        <v>-2529.2200000000003</v>
      </c>
      <c r="H42" s="26">
        <f t="shared" si="12"/>
        <v>4007.0499999999997</v>
      </c>
      <c r="I42" s="26">
        <f t="shared" si="12"/>
        <v>2529.2200000000003</v>
      </c>
      <c r="J42" s="26">
        <f t="shared" si="12"/>
        <v>6536.27</v>
      </c>
      <c r="K42" s="23"/>
      <c r="L42" s="26">
        <f t="shared" si="12"/>
        <v>6617.6099999999988</v>
      </c>
      <c r="M42" s="23"/>
      <c r="N42" s="26">
        <f t="shared" si="12"/>
        <v>-81.339999999999065</v>
      </c>
      <c r="O42" s="20">
        <f t="shared" si="10"/>
        <v>-1.2291446609878576E-2</v>
      </c>
    </row>
    <row r="43" spans="2:15" x14ac:dyDescent="0.45">
      <c r="B43" s="11" t="s">
        <v>82</v>
      </c>
      <c r="D43" s="26">
        <f>D25</f>
        <v>0</v>
      </c>
      <c r="E43" s="26">
        <f t="shared" ref="E43:N43" si="13">E25</f>
        <v>0</v>
      </c>
      <c r="F43" s="26">
        <f>F25</f>
        <v>5891.27</v>
      </c>
      <c r="G43" s="26">
        <f t="shared" si="13"/>
        <v>-2250</v>
      </c>
      <c r="H43" s="26">
        <f t="shared" si="13"/>
        <v>3642</v>
      </c>
      <c r="I43" s="26"/>
      <c r="J43" s="26">
        <f t="shared" si="13"/>
        <v>5892</v>
      </c>
      <c r="K43" s="23"/>
      <c r="L43" s="26">
        <f t="shared" si="13"/>
        <v>3298.46</v>
      </c>
      <c r="M43" s="23"/>
      <c r="N43" s="26">
        <f t="shared" si="13"/>
        <v>2593.54</v>
      </c>
      <c r="O43" s="20">
        <f t="shared" si="10"/>
        <v>0.78628814658962054</v>
      </c>
    </row>
    <row r="44" spans="2:15" x14ac:dyDescent="0.45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9"/>
    </row>
    <row r="45" spans="2:15" x14ac:dyDescent="0.45">
      <c r="B45" s="11" t="s">
        <v>84</v>
      </c>
      <c r="D45" s="26">
        <f t="shared" ref="D45:J45" si="14">D18+-D40</f>
        <v>0</v>
      </c>
      <c r="E45" s="26">
        <f t="shared" si="14"/>
        <v>0</v>
      </c>
      <c r="F45" s="26">
        <f>F18+-F40</f>
        <v>-645</v>
      </c>
      <c r="G45" s="26">
        <f t="shared" si="14"/>
        <v>279.22000000000025</v>
      </c>
      <c r="H45" s="26">
        <f t="shared" si="14"/>
        <v>-365.04999999999973</v>
      </c>
      <c r="I45" s="26">
        <f t="shared" si="14"/>
        <v>-279.22000000000025</v>
      </c>
      <c r="J45" s="26">
        <f t="shared" si="14"/>
        <v>-644.27000000000044</v>
      </c>
      <c r="K45" s="23"/>
      <c r="L45" s="26">
        <f>L18+-L40</f>
        <v>-3319.1499999999987</v>
      </c>
      <c r="M45" s="23"/>
      <c r="N45" s="26">
        <f>J45+-L45</f>
        <v>2674.8799999999983</v>
      </c>
      <c r="O45" s="20">
        <f t="shared" si="10"/>
        <v>-0.80589307503427066</v>
      </c>
    </row>
    <row r="46" spans="2:15" x14ac:dyDescent="0.45">
      <c r="I46"/>
      <c r="J46"/>
      <c r="K46"/>
      <c r="L46"/>
      <c r="N46"/>
    </row>
  </sheetData>
  <mergeCells count="2">
    <mergeCell ref="A1:L1"/>
    <mergeCell ref="A2:L2"/>
  </mergeCells>
  <pageMargins left="0.78740157480314965" right="0.39370078740157483" top="0.59055118110236227" bottom="0.78740157480314965" header="0.39370078740157483" footer="0.39370078740157483"/>
  <pageSetup paperSize="9" scale="73" fitToHeight="0" orientation="portrait" horizontalDpi="4294967293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5FF5-E1FA-4F2F-8EF8-95954320590E}">
  <sheetPr>
    <pageSetUpPr fitToPage="1"/>
  </sheetPr>
  <dimension ref="A1:I37"/>
  <sheetViews>
    <sheetView workbookViewId="0">
      <pane ySplit="6" topLeftCell="A7" activePane="bottomLeft" state="frozen"/>
      <selection pane="bottomLeft" activeCell="A7" sqref="A7"/>
    </sheetView>
  </sheetViews>
  <sheetFormatPr defaultRowHeight="14.25" x14ac:dyDescent="0.45"/>
  <cols>
    <col min="1" max="1" width="4.73046875" customWidth="1"/>
    <col min="2" max="3" width="20.73046875" customWidth="1"/>
    <col min="4" max="6" width="13.73046875" style="7" customWidth="1"/>
    <col min="7" max="7" width="2.73046875" style="7" customWidth="1"/>
    <col min="8" max="8" width="13.73046875" style="7" customWidth="1"/>
  </cols>
  <sheetData>
    <row r="1" spans="1:8" ht="30" customHeight="1" x14ac:dyDescent="1.1000000000000001">
      <c r="A1" s="1" t="str">
        <f>range_Name_of_Organisation&amp;CHAR(32)&amp;range_Charity_Number</f>
        <v>Sailability Scotland SCIO SC047162</v>
      </c>
      <c r="B1" s="2"/>
      <c r="C1" s="2"/>
      <c r="D1" s="2"/>
      <c r="E1" s="2"/>
      <c r="F1" s="2"/>
      <c r="G1" s="3"/>
      <c r="H1" s="2"/>
    </row>
    <row r="2" spans="1:8" ht="54.95" customHeight="1" x14ac:dyDescent="1.1000000000000001">
      <c r="A2" s="1" t="str">
        <f>"Statement of Funds as at
30th November "&amp;i_Year+1&amp;"."</f>
        <v>Statement of Funds as at
30th November 2025.</v>
      </c>
      <c r="B2" s="2"/>
      <c r="C2" s="2"/>
      <c r="D2" s="2"/>
      <c r="E2" s="2"/>
      <c r="F2" s="2"/>
      <c r="G2" s="3"/>
      <c r="H2" s="2"/>
    </row>
    <row r="3" spans="1:8" x14ac:dyDescent="0.45">
      <c r="D3"/>
      <c r="E3"/>
      <c r="F3"/>
      <c r="G3"/>
      <c r="H3"/>
    </row>
    <row r="4" spans="1:8" ht="28.5" x14ac:dyDescent="0.45">
      <c r="D4" s="4" t="s">
        <v>3</v>
      </c>
      <c r="E4" s="4" t="s">
        <v>4</v>
      </c>
      <c r="F4" s="4" t="s">
        <v>9</v>
      </c>
      <c r="G4"/>
      <c r="H4" s="4" t="str">
        <f>i_Year-1&amp;"/"&amp;i_Year</f>
        <v>2023/2024</v>
      </c>
    </row>
    <row r="5" spans="1:8" x14ac:dyDescent="0.45">
      <c r="D5"/>
      <c r="E5"/>
      <c r="F5"/>
      <c r="G5"/>
      <c r="H5"/>
    </row>
    <row r="6" spans="1:8" x14ac:dyDescent="0.45">
      <c r="D6" s="10" t="s">
        <v>0</v>
      </c>
      <c r="E6" s="10" t="s">
        <v>0</v>
      </c>
      <c r="F6" s="10" t="s">
        <v>0</v>
      </c>
      <c r="G6"/>
      <c r="H6" s="10" t="s">
        <v>0</v>
      </c>
    </row>
    <row r="7" spans="1:8" x14ac:dyDescent="0.45">
      <c r="D7"/>
      <c r="E7"/>
      <c r="F7"/>
      <c r="G7"/>
      <c r="H7"/>
    </row>
    <row r="8" spans="1:8" x14ac:dyDescent="0.45">
      <c r="B8" s="12" t="s">
        <v>17</v>
      </c>
      <c r="F8"/>
      <c r="G8"/>
      <c r="H8"/>
    </row>
    <row r="9" spans="1:8" x14ac:dyDescent="0.45">
      <c r="B9" t="s">
        <v>18</v>
      </c>
      <c r="D9" s="7">
        <v>10800</v>
      </c>
      <c r="F9" s="7">
        <f t="shared" ref="F9:F13" si="0">SUM(D9:E9)</f>
        <v>10800</v>
      </c>
      <c r="G9"/>
      <c r="H9" s="7">
        <v>10800</v>
      </c>
    </row>
    <row r="10" spans="1:8" x14ac:dyDescent="0.45">
      <c r="B10" t="s">
        <v>19</v>
      </c>
      <c r="D10" s="7">
        <v>2250</v>
      </c>
      <c r="F10" s="7">
        <f t="shared" si="0"/>
        <v>2250</v>
      </c>
      <c r="G10"/>
      <c r="H10" s="7">
        <v>2250</v>
      </c>
    </row>
    <row r="11" spans="1:8" x14ac:dyDescent="0.45">
      <c r="B11" t="s">
        <v>20</v>
      </c>
      <c r="D11" s="7">
        <v>3250</v>
      </c>
      <c r="F11" s="7">
        <f t="shared" si="0"/>
        <v>3250</v>
      </c>
      <c r="G11"/>
      <c r="H11" s="7">
        <v>3250</v>
      </c>
    </row>
    <row r="12" spans="1:8" x14ac:dyDescent="0.45">
      <c r="B12" t="s">
        <v>21</v>
      </c>
      <c r="D12" s="7">
        <v>2250</v>
      </c>
      <c r="F12" s="7">
        <f t="shared" si="0"/>
        <v>2250</v>
      </c>
      <c r="G12"/>
      <c r="H12" s="7">
        <v>2250</v>
      </c>
    </row>
    <row r="13" spans="1:8" x14ac:dyDescent="0.45">
      <c r="B13" t="s">
        <v>22</v>
      </c>
      <c r="F13" s="7">
        <f t="shared" si="0"/>
        <v>0</v>
      </c>
      <c r="G13"/>
      <c r="H13" s="7">
        <v>0</v>
      </c>
    </row>
    <row r="14" spans="1:8" x14ac:dyDescent="0.45">
      <c r="B14" t="s">
        <v>23</v>
      </c>
      <c r="F14" s="7">
        <f>SUM(D14:E14)</f>
        <v>0</v>
      </c>
      <c r="G14"/>
      <c r="H14" s="7">
        <v>0</v>
      </c>
    </row>
    <row r="15" spans="1:8" x14ac:dyDescent="0.45">
      <c r="B15" t="s">
        <v>16</v>
      </c>
      <c r="G15"/>
    </row>
    <row r="16" spans="1:8" x14ac:dyDescent="0.45">
      <c r="B16" t="s">
        <v>117</v>
      </c>
      <c r="D16" s="7">
        <v>1200</v>
      </c>
      <c r="F16" s="7">
        <f t="shared" ref="F16:F18" si="1">SUM(D16:E16)</f>
        <v>1200</v>
      </c>
      <c r="G16"/>
      <c r="H16" s="7">
        <v>1200</v>
      </c>
    </row>
    <row r="17" spans="2:9" x14ac:dyDescent="0.45">
      <c r="B17" t="s">
        <v>118</v>
      </c>
      <c r="D17" s="7">
        <v>750</v>
      </c>
      <c r="F17" s="7">
        <f t="shared" si="1"/>
        <v>750</v>
      </c>
      <c r="G17"/>
      <c r="H17" s="7">
        <v>750</v>
      </c>
    </row>
    <row r="18" spans="2:9" x14ac:dyDescent="0.45">
      <c r="B18" t="s">
        <v>116</v>
      </c>
      <c r="D18" s="7">
        <v>300</v>
      </c>
      <c r="F18" s="7">
        <f t="shared" si="1"/>
        <v>300</v>
      </c>
      <c r="G18"/>
      <c r="H18" s="7">
        <v>300</v>
      </c>
    </row>
    <row r="19" spans="2:9" s="11" customFormat="1" x14ac:dyDescent="0.45">
      <c r="B19" s="11" t="s">
        <v>26</v>
      </c>
      <c r="D19" s="13">
        <f>SUM(D9:D18)</f>
        <v>20800</v>
      </c>
      <c r="E19" s="13">
        <f>SUM(E9:E18)</f>
        <v>0</v>
      </c>
      <c r="F19" s="13">
        <f>SUM(F9:F18)</f>
        <v>20800</v>
      </c>
      <c r="H19" s="13">
        <f>SUM(H9:H18)</f>
        <v>20800</v>
      </c>
      <c r="I19" s="35"/>
    </row>
    <row r="20" spans="2:9" x14ac:dyDescent="0.45">
      <c r="E20"/>
      <c r="F20"/>
      <c r="G20"/>
      <c r="H20"/>
    </row>
    <row r="21" spans="2:9" x14ac:dyDescent="0.45">
      <c r="B21" s="12" t="s">
        <v>24</v>
      </c>
      <c r="F21"/>
      <c r="G21"/>
      <c r="H21"/>
    </row>
    <row r="22" spans="2:9" x14ac:dyDescent="0.45">
      <c r="B22" t="s">
        <v>27</v>
      </c>
      <c r="F22" s="7">
        <f>SUM(D22:E22)</f>
        <v>0</v>
      </c>
      <c r="G22"/>
      <c r="H22" s="7">
        <v>0</v>
      </c>
    </row>
    <row r="23" spans="2:9" x14ac:dyDescent="0.45">
      <c r="B23" t="s">
        <v>28</v>
      </c>
      <c r="D23" s="7">
        <f>'Bank Balances'!E6</f>
        <v>17570.330000000005</v>
      </c>
      <c r="E23" s="7">
        <f>'Bank Balances'!E7</f>
        <v>922.68999999999983</v>
      </c>
      <c r="F23" s="7">
        <f>SUM(D23:E23)</f>
        <v>18493.020000000004</v>
      </c>
      <c r="G23"/>
      <c r="H23" s="7">
        <f>'B1 Cash Funds'!F13</f>
        <v>19138.02</v>
      </c>
    </row>
    <row r="24" spans="2:9" s="11" customFormat="1" x14ac:dyDescent="0.45">
      <c r="B24" s="11" t="s">
        <v>29</v>
      </c>
      <c r="D24" s="13">
        <f>SUM(D22:D23)</f>
        <v>17570.330000000005</v>
      </c>
      <c r="E24" s="13">
        <f>SUM(E22:E23)</f>
        <v>922.68999999999983</v>
      </c>
      <c r="F24" s="13">
        <f>SUM(F22:F23)</f>
        <v>18493.020000000004</v>
      </c>
      <c r="H24" s="13">
        <f>SUM(H22:H23)</f>
        <v>19138.02</v>
      </c>
    </row>
    <row r="25" spans="2:9" x14ac:dyDescent="0.45">
      <c r="D25" s="14"/>
      <c r="E25" s="14"/>
      <c r="F25" s="14"/>
      <c r="G25"/>
      <c r="H25" s="14"/>
    </row>
    <row r="26" spans="2:9" x14ac:dyDescent="0.45">
      <c r="B26" s="12" t="s">
        <v>25</v>
      </c>
      <c r="D26" s="14"/>
      <c r="E26" s="14"/>
      <c r="F26" s="14"/>
      <c r="G26"/>
      <c r="H26" s="14"/>
    </row>
    <row r="27" spans="2:9" x14ac:dyDescent="0.45">
      <c r="B27" t="s">
        <v>30</v>
      </c>
      <c r="D27" s="7">
        <v>0</v>
      </c>
      <c r="E27" s="7">
        <v>0</v>
      </c>
      <c r="F27" s="7">
        <f>SUM(D27:E27)</f>
        <v>0</v>
      </c>
      <c r="G27"/>
      <c r="H27" s="7">
        <v>0</v>
      </c>
    </row>
    <row r="28" spans="2:9" s="11" customFormat="1" x14ac:dyDescent="0.45">
      <c r="B28" s="11" t="s">
        <v>32</v>
      </c>
      <c r="D28" s="13">
        <f>D27</f>
        <v>0</v>
      </c>
      <c r="E28" s="13">
        <f>E27</f>
        <v>0</v>
      </c>
      <c r="F28" s="13">
        <f>F27</f>
        <v>0</v>
      </c>
      <c r="H28" s="13">
        <f>H27</f>
        <v>0</v>
      </c>
    </row>
    <row r="29" spans="2:9" x14ac:dyDescent="0.45">
      <c r="G29"/>
    </row>
    <row r="30" spans="2:9" s="11" customFormat="1" ht="14.65" thickBot="1" x14ac:dyDescent="0.5">
      <c r="B30" s="11" t="s">
        <v>31</v>
      </c>
      <c r="D30" s="8">
        <f>D19+D24+-D28</f>
        <v>38370.33</v>
      </c>
      <c r="E30" s="8">
        <f>E19+E24+-E28</f>
        <v>922.68999999999983</v>
      </c>
      <c r="F30" s="8">
        <f>F19+F24+-F28</f>
        <v>39293.020000000004</v>
      </c>
      <c r="H30" s="8">
        <f>H19+H24+-H28</f>
        <v>39938.020000000004</v>
      </c>
    </row>
    <row r="31" spans="2:9" ht="14.65" thickTop="1" x14ac:dyDescent="0.45">
      <c r="E31"/>
      <c r="F31"/>
      <c r="G31"/>
      <c r="H31"/>
    </row>
    <row r="32" spans="2:9" x14ac:dyDescent="0.45">
      <c r="B32" s="12" t="s">
        <v>34</v>
      </c>
    </row>
    <row r="33" spans="2:8" x14ac:dyDescent="0.45">
      <c r="B33" t="str">
        <f>"Balance as at 30th November "&amp;i_Year</f>
        <v>Balance as at 30th November 2024</v>
      </c>
      <c r="D33" s="7">
        <f>H36+-E33</f>
        <v>38736.11</v>
      </c>
      <c r="E33" s="7">
        <f>'B1 Cash Funds'!C5</f>
        <v>1201.9100000000001</v>
      </c>
      <c r="F33" s="7">
        <f>SUM(D33:E33)</f>
        <v>39938.020000000004</v>
      </c>
      <c r="H33" s="7">
        <f>H30+-H35</f>
        <v>59469</v>
      </c>
    </row>
    <row r="34" spans="2:8" x14ac:dyDescent="0.45">
      <c r="B34" t="s">
        <v>148</v>
      </c>
      <c r="D34" s="7">
        <f>'B1 Cash Funds'!B11</f>
        <v>0</v>
      </c>
      <c r="E34" s="7">
        <f>'B1 Cash Funds'!C11</f>
        <v>0</v>
      </c>
      <c r="F34" s="7">
        <f>SUM(D34:E34)</f>
        <v>0</v>
      </c>
      <c r="H34" s="7">
        <v>0</v>
      </c>
    </row>
    <row r="35" spans="2:8" x14ac:dyDescent="0.45">
      <c r="B35" t="s">
        <v>33</v>
      </c>
      <c r="D35" s="7">
        <f>'Income &amp; Expenditure Statement'!H27</f>
        <v>-365.77999999999975</v>
      </c>
      <c r="E35" s="7">
        <f>'Income &amp; Expenditure Statement'!I27</f>
        <v>-279.22000000000025</v>
      </c>
      <c r="F35" s="7">
        <f>SUM(D35:E35)</f>
        <v>-645</v>
      </c>
      <c r="H35" s="7">
        <v>-19530.979999999996</v>
      </c>
    </row>
    <row r="36" spans="2:8" ht="14.65" thickBot="1" x14ac:dyDescent="0.5">
      <c r="D36" s="8">
        <f>SUM(D33:D35)</f>
        <v>38370.33</v>
      </c>
      <c r="E36" s="8">
        <f>SUM(E33:E35)</f>
        <v>922.68999999999983</v>
      </c>
      <c r="F36" s="8">
        <f>SUM(F33:F35)</f>
        <v>39293.020000000004</v>
      </c>
      <c r="H36" s="8">
        <f>SUM(H33:H35)</f>
        <v>39938.020000000004</v>
      </c>
    </row>
    <row r="37" spans="2:8" ht="14.65" thickTop="1" x14ac:dyDescent="0.45">
      <c r="D37" s="7">
        <f>D30+-D36</f>
        <v>0</v>
      </c>
      <c r="E37" s="7">
        <f>E30+-E36</f>
        <v>0</v>
      </c>
      <c r="F37" s="7">
        <f>F30+-F36</f>
        <v>0</v>
      </c>
      <c r="H37" s="7">
        <f>H30+-H36</f>
        <v>0</v>
      </c>
    </row>
  </sheetData>
  <sheetProtection sheet="1" objects="1" scenarios="1"/>
  <pageMargins left="0.39370078740157483" right="0.39370078740157483" top="0.59055118110236227" bottom="0.78740157480314965" header="0.39370078740157483" footer="0.39370078740157483"/>
  <pageSetup paperSize="9" scale="90" orientation="landscape" horizontalDpi="4294967293" r:id="rId1"/>
  <headerFooter>
    <oddFooter>&amp;L&amp;"Arial,Regular"&amp;6&amp;Z
&amp;F&amp;C&amp;"Arial,Regular"&amp;6&amp;A  Page &amp;P of  &amp;N&amp;R&amp;"Arial,Regular"&amp;6 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2F36-E20B-4AB3-ACE9-BD56AC98367D}">
  <sheetPr>
    <pageSetUpPr fitToPage="1"/>
  </sheetPr>
  <dimension ref="A1:F14"/>
  <sheetViews>
    <sheetView workbookViewId="0">
      <selection activeCell="E12" sqref="E12"/>
    </sheetView>
  </sheetViews>
  <sheetFormatPr defaultRowHeight="14.25" x14ac:dyDescent="0.45"/>
  <cols>
    <col min="1" max="1" width="22.73046875" customWidth="1"/>
    <col min="2" max="5" width="13.73046875" customWidth="1"/>
  </cols>
  <sheetData>
    <row r="1" spans="1:6" ht="25.5" x14ac:dyDescent="0.75">
      <c r="A1" s="15" t="str">
        <f>range_Name_of_Organisation</f>
        <v>Sailability Scotland SCIO</v>
      </c>
    </row>
    <row r="3" spans="1:6" ht="21" x14ac:dyDescent="0.65">
      <c r="A3" s="16" t="str">
        <f>"Statement of balances as at 30th November "&amp;i_Year+1&amp;"."</f>
        <v>Statement of balances as at 30th November 2025.</v>
      </c>
    </row>
    <row r="5" spans="1:6" ht="42.75" x14ac:dyDescent="0.45">
      <c r="B5" s="4" t="s">
        <v>119</v>
      </c>
      <c r="C5" s="4" t="s">
        <v>147</v>
      </c>
      <c r="D5" s="4" t="s">
        <v>120</v>
      </c>
      <c r="E5" s="4" t="s">
        <v>9</v>
      </c>
    </row>
    <row r="6" spans="1:6" x14ac:dyDescent="0.45">
      <c r="A6" t="s">
        <v>40</v>
      </c>
      <c r="B6" s="5">
        <f>'[1]Bank balances'!$J$42</f>
        <v>15613.900000000007</v>
      </c>
      <c r="C6" s="5">
        <f>'[1]Bank balances'!$K$42</f>
        <v>109.78999999999701</v>
      </c>
      <c r="D6" s="5">
        <f>'[1]Bank balances'!$L$42+-D7</f>
        <v>1846.64</v>
      </c>
      <c r="E6" s="5">
        <f>SUM(B6:D6)</f>
        <v>17570.330000000005</v>
      </c>
    </row>
    <row r="7" spans="1:6" x14ac:dyDescent="0.45">
      <c r="A7" t="s">
        <v>4</v>
      </c>
      <c r="B7" s="5"/>
      <c r="C7" s="5"/>
      <c r="D7" s="5">
        <f>'B1 Cash Funds'!C13</f>
        <v>922.68999999999983</v>
      </c>
      <c r="E7" s="5">
        <f>SUM(B7:D7)</f>
        <v>922.68999999999983</v>
      </c>
    </row>
    <row r="8" spans="1:6" ht="14.65" thickBot="1" x14ac:dyDescent="0.5">
      <c r="B8" s="6">
        <f>SUM(B6:B7)</f>
        <v>15613.900000000007</v>
      </c>
      <c r="C8" s="6">
        <f>SUM(C6:C7)</f>
        <v>109.78999999999701</v>
      </c>
      <c r="D8" s="6">
        <f>SUM(D6:D7)</f>
        <v>2769.33</v>
      </c>
      <c r="E8" s="6">
        <f>SUM(E6:E7)</f>
        <v>18493.020000000004</v>
      </c>
    </row>
    <row r="9" spans="1:6" ht="14.65" thickTop="1" x14ac:dyDescent="0.45">
      <c r="B9" s="31"/>
      <c r="C9" s="31"/>
      <c r="D9" s="31"/>
      <c r="E9" s="31"/>
    </row>
    <row r="10" spans="1:6" x14ac:dyDescent="0.45">
      <c r="A10" t="s">
        <v>145</v>
      </c>
      <c r="B10" s="5">
        <f>'[1]Bank balances'!J37</f>
        <v>15938.130000000006</v>
      </c>
      <c r="C10" s="5">
        <f>'[1]Bank balances'!K37</f>
        <v>1877.329999999997</v>
      </c>
      <c r="D10" s="5">
        <f>'[1]Bank balances'!L37</f>
        <v>1322.56</v>
      </c>
      <c r="E10" s="5">
        <f>SUM(B10:D10)</f>
        <v>19138.020000000004</v>
      </c>
    </row>
    <row r="11" spans="1:6" x14ac:dyDescent="0.45">
      <c r="A11" t="s">
        <v>146</v>
      </c>
      <c r="B11" s="5">
        <f>'[1]Bank balances'!J35</f>
        <v>-324.23</v>
      </c>
      <c r="C11" s="5">
        <f>'[1]Bank balances'!K35</f>
        <v>-1767.54</v>
      </c>
      <c r="D11" s="5">
        <f>'[1]Bank balances'!L35</f>
        <v>1446.7699999999998</v>
      </c>
      <c r="E11" s="5">
        <f>SUM(B11:D11)</f>
        <v>-645.00000000000023</v>
      </c>
    </row>
    <row r="12" spans="1:6" ht="14.65" thickBot="1" x14ac:dyDescent="0.5">
      <c r="B12" s="6">
        <f>SUM(B10:B11)</f>
        <v>15613.900000000007</v>
      </c>
      <c r="C12" s="6">
        <f>SUM(C10:C11)</f>
        <v>109.78999999999701</v>
      </c>
      <c r="D12" s="6">
        <f>SUM(D10:D11)</f>
        <v>2769.33</v>
      </c>
      <c r="E12" s="6">
        <f>SUM(E10:E11)</f>
        <v>18493.020000000004</v>
      </c>
    </row>
    <row r="13" spans="1:6" ht="14.65" thickTop="1" x14ac:dyDescent="0.45">
      <c r="B13" s="31"/>
      <c r="C13" s="31"/>
      <c r="D13" s="31"/>
      <c r="E13" s="31"/>
    </row>
    <row r="14" spans="1:6" ht="30" customHeight="1" x14ac:dyDescent="0.45">
      <c r="A14" s="48" t="str">
        <f ca="1">CELL("filename",$A$1)</f>
        <v>https://d.docs.live.net/91e87eea257872b9/Documents/Sailability Scotland/Finance/Final accounts from STB-2025/[2024_2025_Final_Accounts_Sailability_Scotland_OSCR_FORMAT_Ver01 (1).xlsx]Bank Balances</v>
      </c>
      <c r="B14" s="48"/>
      <c r="C14" s="48"/>
      <c r="D14" s="48"/>
      <c r="E14" s="48"/>
      <c r="F14" s="48"/>
    </row>
  </sheetData>
  <sheetProtection sheet="1" objects="1" scenarios="1"/>
  <mergeCells count="1">
    <mergeCell ref="A14:F14"/>
  </mergeCells>
  <pageMargins left="0.78740157480314998" right="0.39370078740157499" top="0.59055118110236204" bottom="0.78740157480314998" header="0.39370078740157499" footer="0.39370078740157499"/>
  <pageSetup paperSize="9" fitToHeight="0" orientation="portrait" horizontalDpi="4294967293" r:id="rId1"/>
  <headerFooter>
    <oddFooter>&amp;L&amp;"Arial,Regular"&amp;6&amp;Z
&amp;F&amp;C&amp;"Arial,Regular"&amp;6&amp;A  Page &amp;P of  &amp;N&amp;R&amp;"Arial,Regular"&amp;6  &amp;D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66A4-42FF-4843-9D0F-7DCA06E70A01}">
  <sheetPr>
    <pageSetUpPr fitToPage="1"/>
  </sheetPr>
  <dimension ref="A1:F16"/>
  <sheetViews>
    <sheetView workbookViewId="0"/>
  </sheetViews>
  <sheetFormatPr defaultRowHeight="14.25" x14ac:dyDescent="0.45"/>
  <cols>
    <col min="1" max="1" width="50.73046875" customWidth="1"/>
    <col min="2" max="4" width="13.73046875" customWidth="1"/>
    <col min="5" max="5" width="2.73046875" customWidth="1"/>
    <col min="6" max="6" width="13.73046875" customWidth="1"/>
  </cols>
  <sheetData>
    <row r="1" spans="1:6" ht="25.5" x14ac:dyDescent="0.75">
      <c r="A1" s="15" t="str">
        <f>range_Name_of_Organisation</f>
        <v>Sailability Scotland SCIO</v>
      </c>
    </row>
    <row r="2" spans="1:6" ht="18" x14ac:dyDescent="0.55000000000000004">
      <c r="A2" s="22" t="s">
        <v>46</v>
      </c>
    </row>
    <row r="3" spans="1:6" ht="18" x14ac:dyDescent="0.55000000000000004">
      <c r="A3" s="22" t="str">
        <f ca="1">MID(CELL("filename",$A$1),FIND("]",CELL("filename",$A$1))+1,LEN(CELL("filename",$A$1))-FIND("]",CELL("filename",$A$1)))</f>
        <v>B1 Cash Funds</v>
      </c>
    </row>
    <row r="4" spans="1:6" ht="28.5" x14ac:dyDescent="0.45">
      <c r="B4" s="4" t="s">
        <v>40</v>
      </c>
      <c r="C4" s="4" t="s">
        <v>4</v>
      </c>
      <c r="D4" s="4" t="s">
        <v>87</v>
      </c>
      <c r="F4" s="4" t="str">
        <f>i_Year-1&amp;"/"&amp;i_Year</f>
        <v>2023/2024</v>
      </c>
    </row>
    <row r="5" spans="1:6" x14ac:dyDescent="0.45">
      <c r="A5" s="21" t="s">
        <v>42</v>
      </c>
      <c r="B5" s="5">
        <f>F13+-C5</f>
        <v>17936.11</v>
      </c>
      <c r="C5" s="5">
        <v>1201.9100000000001</v>
      </c>
      <c r="D5" s="5">
        <f>SUM(B5:C5)</f>
        <v>19138.02</v>
      </c>
      <c r="F5" s="5">
        <v>22457.17</v>
      </c>
    </row>
    <row r="6" spans="1:6" x14ac:dyDescent="0.45">
      <c r="A6" s="21" t="s">
        <v>43</v>
      </c>
      <c r="B6" s="5">
        <f>'Statement of Funds'!D35</f>
        <v>-365.77999999999975</v>
      </c>
      <c r="C6" s="5">
        <f>'Statement of Funds'!E35</f>
        <v>-279.22000000000025</v>
      </c>
      <c r="D6" s="5">
        <f>SUM(B6:C6)</f>
        <v>-645</v>
      </c>
      <c r="F6" s="5">
        <v>-3319.1499999999992</v>
      </c>
    </row>
    <row r="7" spans="1:6" x14ac:dyDescent="0.45">
      <c r="A7" s="21" t="s">
        <v>109</v>
      </c>
      <c r="B7" s="5"/>
      <c r="C7" s="5"/>
      <c r="D7" s="5">
        <f>SUM(B7:C7)</f>
        <v>0</v>
      </c>
      <c r="F7" s="5">
        <v>0</v>
      </c>
    </row>
    <row r="8" spans="1:6" x14ac:dyDescent="0.45">
      <c r="A8" s="21"/>
      <c r="B8" s="5"/>
      <c r="C8" s="5"/>
      <c r="D8" s="5"/>
      <c r="F8" s="5"/>
    </row>
    <row r="9" spans="1:6" x14ac:dyDescent="0.45">
      <c r="A9" s="9" t="s">
        <v>45</v>
      </c>
      <c r="B9" s="5"/>
      <c r="C9" s="5"/>
      <c r="D9" s="5"/>
      <c r="F9" s="5"/>
    </row>
    <row r="10" spans="1:6" x14ac:dyDescent="0.45">
      <c r="A10" s="21" t="s">
        <v>35</v>
      </c>
      <c r="B10" s="5">
        <f>'Income &amp; Expenditure Statement'!H21</f>
        <v>0</v>
      </c>
      <c r="C10" s="5"/>
      <c r="D10" s="5">
        <f>SUM(B10:C10)</f>
        <v>0</v>
      </c>
      <c r="F10" s="5">
        <v>0</v>
      </c>
    </row>
    <row r="11" spans="1:6" x14ac:dyDescent="0.45">
      <c r="A11" s="21" t="s">
        <v>148</v>
      </c>
      <c r="B11" s="5">
        <f>-C11</f>
        <v>0</v>
      </c>
      <c r="C11" s="5"/>
      <c r="D11" s="5">
        <f>SUM(B11:C11)</f>
        <v>0</v>
      </c>
      <c r="F11" s="5">
        <v>0</v>
      </c>
    </row>
    <row r="12" spans="1:6" x14ac:dyDescent="0.45">
      <c r="A12" s="21"/>
      <c r="B12" s="5"/>
      <c r="C12" s="5"/>
      <c r="D12" s="5"/>
      <c r="F12" s="5"/>
    </row>
    <row r="13" spans="1:6" ht="14.65" thickBot="1" x14ac:dyDescent="0.5">
      <c r="A13" s="21" t="s">
        <v>44</v>
      </c>
      <c r="B13" s="6">
        <f>SUM(B5:B12)</f>
        <v>17570.330000000002</v>
      </c>
      <c r="C13" s="6">
        <f t="shared" ref="C13:F13" si="0">SUM(C5:C12)</f>
        <v>922.68999999999983</v>
      </c>
      <c r="D13" s="6">
        <f t="shared" si="0"/>
        <v>18493.02</v>
      </c>
      <c r="F13" s="6">
        <f t="shared" si="0"/>
        <v>19138.02</v>
      </c>
    </row>
    <row r="14" spans="1:6" ht="14.65" thickTop="1" x14ac:dyDescent="0.45"/>
    <row r="15" spans="1:6" ht="30" customHeight="1" x14ac:dyDescent="0.45">
      <c r="A15" s="48" t="str">
        <f ca="1">CELL("filename",$A$1)</f>
        <v>https://d.docs.live.net/91e87eea257872b9/Documents/Sailability Scotland/Finance/Final accounts from STB-2025/[2024_2025_Final_Accounts_Sailability_Scotland_OSCR_FORMAT_Ver01 (1).xlsx]B1 Cash Funds</v>
      </c>
      <c r="B15" s="48"/>
      <c r="C15" s="48"/>
      <c r="D15" s="48"/>
    </row>
    <row r="16" spans="1:6" x14ac:dyDescent="0.45">
      <c r="D16" s="36"/>
    </row>
  </sheetData>
  <sheetProtection sheet="1" objects="1" scenarios="1"/>
  <mergeCells count="1">
    <mergeCell ref="A15:D15"/>
  </mergeCells>
  <pageMargins left="0.39370078740157499" right="0.39370078740157499" top="0.59055118110236204" bottom="0.78740157480314998" header="0.39370078740157499" footer="0.39370078740157499"/>
  <pageSetup paperSize="9" fitToHeight="0" orientation="landscape" r:id="rId1"/>
  <headerFooter>
    <oddFooter>&amp;L&amp;"Arial,Regular"&amp;6&amp;Z
&amp;F&amp;C&amp;"Arial,Regular"&amp;6&amp;A  Page &amp;P of  &amp;N&amp;R&amp;"Arial,Regular"&amp;6 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904BF64-5CFF-4734-8ACC-E61529359467}"/>
</file>

<file path=customXml/itemProps2.xml><?xml version="1.0" encoding="utf-8"?>
<ds:datastoreItem xmlns:ds="http://schemas.openxmlformats.org/officeDocument/2006/customXml" ds:itemID="{AB60FA89-BF33-4367-9A6C-C29AEC6DBE23}"/>
</file>

<file path=customXml/itemProps3.xml><?xml version="1.0" encoding="utf-8"?>
<ds:datastoreItem xmlns:ds="http://schemas.openxmlformats.org/officeDocument/2006/customXml" ds:itemID="{6F0E5C3F-919D-42A6-9ADD-D6EBE6867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</vt:i4>
      </vt:variant>
    </vt:vector>
  </HeadingPairs>
  <TitlesOfParts>
    <vt:vector size="27" baseType="lpstr">
      <vt:lpstr>Consolidated - OSCR Uploads</vt:lpstr>
      <vt:lpstr>Consolidated - AGM</vt:lpstr>
      <vt:lpstr>Movement of Funds</vt:lpstr>
      <vt:lpstr>Gross Trading Receipts</vt:lpstr>
      <vt:lpstr>Income &amp; Expenditure Statement</vt:lpstr>
      <vt:lpstr>A1</vt:lpstr>
      <vt:lpstr>Statement of Funds</vt:lpstr>
      <vt:lpstr>Bank Balances</vt:lpstr>
      <vt:lpstr>B1 Cash Funds</vt:lpstr>
      <vt:lpstr>B1</vt:lpstr>
      <vt:lpstr>B2</vt:lpstr>
      <vt:lpstr>B3 Other Assets</vt:lpstr>
      <vt:lpstr>B3</vt:lpstr>
      <vt:lpstr>Analysis of Receipts &amp; Payments</vt:lpstr>
      <vt:lpstr>C2 Grants</vt:lpstr>
      <vt:lpstr>C2 Grants analysis</vt:lpstr>
      <vt:lpstr>C3b Trustee Renunmeration</vt:lpstr>
      <vt:lpstr>C4b Trustee Expenses</vt:lpstr>
      <vt:lpstr>C4b Trustee Expenses analysis</vt:lpstr>
      <vt:lpstr>Analysis of fundraising</vt:lpstr>
      <vt:lpstr>Year</vt:lpstr>
      <vt:lpstr>i_Date_of_Treasurer_Signature</vt:lpstr>
      <vt:lpstr>i_Year</vt:lpstr>
      <vt:lpstr>'Consolidated - AGM'!Print_Area</vt:lpstr>
      <vt:lpstr>'Consolidated - OSCR Uploads'!Print_Area</vt:lpstr>
      <vt:lpstr>range_Charity_Number</vt:lpstr>
      <vt:lpstr>range_Name_of_Organisation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Thomas Bate</dc:creator>
  <cp:lastModifiedBy>John McPartlin</cp:lastModifiedBy>
  <cp:lastPrinted>2026-01-05T20:40:10Z</cp:lastPrinted>
  <dcterms:created xsi:type="dcterms:W3CDTF">2016-01-11T18:58:06Z</dcterms:created>
  <dcterms:modified xsi:type="dcterms:W3CDTF">2026-05-14T15:56:26Z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